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Люба\Downloads\"/>
    </mc:Choice>
  </mc:AlternateContent>
  <xr:revisionPtr revIDLastSave="0" documentId="13_ncr:1_{EE09B369-EF1F-4D6F-B5EA-9073D026856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 Потребности клиента" sheetId="1" r:id="rId1"/>
  </sheets>
  <calcPr calcId="191029"/>
</workbook>
</file>

<file path=xl/calcChain.xml><?xml version="1.0" encoding="utf-8"?>
<calcChain xmlns="http://schemas.openxmlformats.org/spreadsheetml/2006/main">
  <c r="B44" i="1" l="1"/>
  <c r="A44" i="1"/>
  <c r="H36" i="1"/>
  <c r="H37" i="1"/>
  <c r="H38" i="1"/>
  <c r="H39" i="1"/>
  <c r="H35" i="1"/>
  <c r="G36" i="1"/>
  <c r="G37" i="1"/>
  <c r="G38" i="1"/>
  <c r="G39" i="1"/>
  <c r="G35" i="1"/>
  <c r="H19" i="1"/>
  <c r="H20" i="1"/>
  <c r="H21" i="1"/>
  <c r="H22" i="1"/>
  <c r="H18" i="1"/>
  <c r="G19" i="1"/>
  <c r="G20" i="1"/>
  <c r="G21" i="1"/>
  <c r="G22" i="1"/>
  <c r="G18" i="1"/>
  <c r="E132" i="1"/>
  <c r="E138" i="1" s="1"/>
  <c r="E131" i="1"/>
  <c r="E137" i="1" s="1"/>
  <c r="E130" i="1"/>
  <c r="E136" i="1" s="1"/>
  <c r="E107" i="1"/>
  <c r="E113" i="1" s="1"/>
  <c r="E106" i="1"/>
  <c r="E112" i="1" s="1"/>
  <c r="E105" i="1"/>
  <c r="E111" i="1" s="1"/>
  <c r="E84" i="1"/>
  <c r="E90" i="1" s="1"/>
  <c r="E83" i="1"/>
  <c r="E89" i="1" s="1"/>
  <c r="E82" i="1"/>
  <c r="E88" i="1" s="1"/>
  <c r="C48" i="1"/>
  <c r="C55" i="1" s="1"/>
  <c r="C47" i="1"/>
  <c r="B71" i="1" s="1"/>
  <c r="F44" i="1"/>
  <c r="D31" i="1"/>
  <c r="C31" i="1"/>
  <c r="B31" i="1"/>
  <c r="F31" i="1" s="1"/>
  <c r="D30" i="1"/>
  <c r="C30" i="1"/>
  <c r="F30" i="1" s="1"/>
  <c r="B30" i="1"/>
  <c r="D27" i="1"/>
  <c r="C27" i="1"/>
  <c r="F27" i="1" s="1"/>
  <c r="B27" i="1"/>
  <c r="D26" i="1"/>
  <c r="C26" i="1"/>
  <c r="F26" i="1" s="1"/>
  <c r="B26" i="1"/>
  <c r="D14" i="1"/>
  <c r="C14" i="1"/>
  <c r="F14" i="1" s="1"/>
  <c r="B14" i="1"/>
  <c r="D13" i="1"/>
  <c r="C13" i="1"/>
  <c r="F13" i="1" s="1"/>
  <c r="B13" i="1"/>
  <c r="D10" i="1"/>
  <c r="C10" i="1"/>
  <c r="F10" i="1" s="1"/>
  <c r="B10" i="1"/>
  <c r="D9" i="1"/>
  <c r="C9" i="1"/>
  <c r="F9" i="1" s="1"/>
  <c r="B9" i="1"/>
  <c r="C44" i="1" l="1"/>
  <c r="E63" i="1" s="1"/>
  <c r="C63" i="1"/>
  <c r="C62" i="1"/>
  <c r="C61" i="1"/>
  <c r="C58" i="1"/>
  <c r="C57" i="1"/>
  <c r="H130" i="1"/>
  <c r="G130" i="1" s="1"/>
  <c r="H127" i="1"/>
  <c r="G127" i="1" s="1"/>
  <c r="H121" i="1"/>
  <c r="G121" i="1" s="1"/>
  <c r="H124" i="1"/>
  <c r="G124" i="1" s="1"/>
  <c r="H118" i="1"/>
  <c r="H99" i="1"/>
  <c r="G99" i="1" s="1"/>
  <c r="H82" i="1"/>
  <c r="G82" i="1" s="1"/>
  <c r="H79" i="1"/>
  <c r="G79" i="1" s="1"/>
  <c r="H102" i="1"/>
  <c r="G102" i="1" s="1"/>
  <c r="H105" i="1"/>
  <c r="G105" i="1" s="1"/>
  <c r="H96" i="1"/>
  <c r="H76" i="1"/>
  <c r="D48" i="1"/>
  <c r="B55" i="1"/>
  <c r="D71" i="1"/>
  <c r="D47" i="1"/>
  <c r="E44" i="1" l="1"/>
  <c r="A71" i="1" s="1"/>
  <c r="E62" i="1"/>
  <c r="E48" i="1"/>
  <c r="E71" i="1" s="1"/>
  <c r="E61" i="1"/>
  <c r="H131" i="1"/>
  <c r="G131" i="1" s="1"/>
  <c r="H125" i="1"/>
  <c r="G125" i="1" s="1"/>
  <c r="H119" i="1"/>
  <c r="H128" i="1"/>
  <c r="G128" i="1" s="1"/>
  <c r="H122" i="1"/>
  <c r="G122" i="1" s="1"/>
  <c r="H103" i="1"/>
  <c r="G103" i="1" s="1"/>
  <c r="H97" i="1"/>
  <c r="H77" i="1"/>
  <c r="H106" i="1"/>
  <c r="G106" i="1" s="1"/>
  <c r="H100" i="1"/>
  <c r="G100" i="1" s="1"/>
  <c r="H80" i="1"/>
  <c r="G80" i="1" s="1"/>
  <c r="G96" i="1"/>
  <c r="H111" i="1"/>
  <c r="H136" i="1"/>
  <c r="G118" i="1"/>
  <c r="B63" i="1"/>
  <c r="B62" i="1"/>
  <c r="B61" i="1"/>
  <c r="B58" i="1"/>
  <c r="B57" i="1"/>
  <c r="H88" i="1"/>
  <c r="G76" i="1"/>
  <c r="C49" i="1" l="1"/>
  <c r="D55" i="1" s="1"/>
  <c r="E47" i="1"/>
  <c r="C71" i="1" s="1"/>
  <c r="E55" i="1"/>
  <c r="E58" i="1" s="1"/>
  <c r="H83" i="1"/>
  <c r="G83" i="1" s="1"/>
  <c r="D49" i="1"/>
  <c r="H89" i="1"/>
  <c r="G77" i="1"/>
  <c r="H112" i="1"/>
  <c r="G97" i="1"/>
  <c r="H137" i="1"/>
  <c r="G119" i="1"/>
  <c r="F71" i="1" l="1"/>
  <c r="H129" i="1" s="1"/>
  <c r="G129" i="1" s="1"/>
  <c r="B49" i="1"/>
  <c r="E57" i="1"/>
  <c r="D63" i="1"/>
  <c r="D62" i="1"/>
  <c r="D61" i="1"/>
  <c r="D58" i="1"/>
  <c r="D57" i="1"/>
  <c r="E49" i="1"/>
  <c r="D50" i="1"/>
  <c r="H132" i="1"/>
  <c r="G132" i="1" s="1"/>
  <c r="H78" i="1" l="1"/>
  <c r="H120" i="1"/>
  <c r="H104" i="1"/>
  <c r="G104" i="1" s="1"/>
  <c r="C102" i="1" s="1"/>
  <c r="H81" i="1"/>
  <c r="G81" i="1" s="1"/>
  <c r="C79" i="1" s="1"/>
  <c r="H123" i="1"/>
  <c r="G123" i="1" s="1"/>
  <c r="C121" i="1" s="1"/>
  <c r="F123" i="1" s="1"/>
  <c r="H107" i="1"/>
  <c r="G107" i="1" s="1"/>
  <c r="C105" i="1" s="1"/>
  <c r="H98" i="1"/>
  <c r="G98" i="1" s="1"/>
  <c r="H101" i="1"/>
  <c r="G101" i="1" s="1"/>
  <c r="C99" i="1" s="1"/>
  <c r="H126" i="1"/>
  <c r="G126" i="1" s="1"/>
  <c r="C124" i="1" s="1"/>
  <c r="G78" i="1"/>
  <c r="C127" i="1"/>
  <c r="G120" i="1"/>
  <c r="C130" i="1"/>
  <c r="F132" i="1" s="1"/>
  <c r="G71" i="1"/>
  <c r="E50" i="1"/>
  <c r="H84" i="1" l="1"/>
  <c r="G84" i="1" s="1"/>
  <c r="H138" i="1"/>
  <c r="H113" i="1"/>
  <c r="B105" i="1"/>
  <c r="F105" i="1"/>
  <c r="F106" i="1"/>
  <c r="B127" i="1"/>
  <c r="F127" i="1"/>
  <c r="F128" i="1"/>
  <c r="B124" i="1"/>
  <c r="F124" i="1"/>
  <c r="F125" i="1"/>
  <c r="B99" i="1"/>
  <c r="F99" i="1"/>
  <c r="F100" i="1"/>
  <c r="B79" i="1"/>
  <c r="F79" i="1"/>
  <c r="F80" i="1"/>
  <c r="C76" i="1"/>
  <c r="F78" i="1" s="1"/>
  <c r="B102" i="1"/>
  <c r="F102" i="1"/>
  <c r="F103" i="1"/>
  <c r="B130" i="1"/>
  <c r="F130" i="1"/>
  <c r="F131" i="1"/>
  <c r="B121" i="1"/>
  <c r="F121" i="1"/>
  <c r="F122" i="1"/>
  <c r="C118" i="1"/>
  <c r="F120" i="1" s="1"/>
  <c r="C82" i="1"/>
  <c r="F84" i="1" s="1"/>
  <c r="C96" i="1"/>
  <c r="F98" i="1" s="1"/>
  <c r="F107" i="1"/>
  <c r="F129" i="1"/>
  <c r="F126" i="1"/>
  <c r="F101" i="1"/>
  <c r="F81" i="1"/>
  <c r="H90" i="1"/>
  <c r="F104" i="1"/>
  <c r="C109" i="1" l="1"/>
  <c r="B96" i="1"/>
  <c r="B109" i="1" s="1"/>
  <c r="F96" i="1"/>
  <c r="F97" i="1"/>
  <c r="B82" i="1"/>
  <c r="F82" i="1"/>
  <c r="F83" i="1"/>
  <c r="C134" i="1"/>
  <c r="B118" i="1"/>
  <c r="B134" i="1" s="1"/>
  <c r="F118" i="1"/>
  <c r="F119" i="1"/>
  <c r="C86" i="1"/>
  <c r="B76" i="1"/>
  <c r="B86" i="1" s="1"/>
  <c r="F76" i="1"/>
  <c r="F77" i="1"/>
</calcChain>
</file>

<file path=xl/sharedStrings.xml><?xml version="1.0" encoding="utf-8"?>
<sst xmlns="http://schemas.openxmlformats.org/spreadsheetml/2006/main" count="255" uniqueCount="133">
  <si>
    <t>Возраст</t>
  </si>
  <si>
    <t>Рост (см)</t>
  </si>
  <si>
    <t>Вес (кг)</t>
  </si>
  <si>
    <t>Физическая активность</t>
  </si>
  <si>
    <t>Внимание! В этой таблице расчеты ведутся автоматически!
Изменять данные можно только в ячейках желтого цвета!</t>
  </si>
  <si>
    <t>Пол:</t>
  </si>
  <si>
    <t xml:space="preserve">Физическая активность                                </t>
  </si>
  <si>
    <t>Рассчет базального метаболизма по формуле Миффлина-Джеора</t>
  </si>
  <si>
    <t>Рассчет базального метаболизма по формуле Харриса-Бенедикта (1984 г)</t>
  </si>
  <si>
    <t>Мужской</t>
  </si>
  <si>
    <t>Умеренная активность</t>
  </si>
  <si>
    <t>Нынешнее состояние</t>
  </si>
  <si>
    <t>Сидячий образ жизни</t>
  </si>
  <si>
    <t xml:space="preserve">для малоподвижных людей (тренировок мало или они отсутствуют);                                </t>
  </si>
  <si>
    <t>Желаемое состояние</t>
  </si>
  <si>
    <t>Женский</t>
  </si>
  <si>
    <t>Низкая активность</t>
  </si>
  <si>
    <t xml:space="preserve">для людей с низкой активностью (легкие тренировки 1–3 раза в неделю);                                </t>
  </si>
  <si>
    <t>Умеренная активность (легкие физические нагрузки либо занятия 1-3 раз в неделю)</t>
  </si>
  <si>
    <t>для умеренно активных людей (работа средней тяжести либо тренировки умеренной интенсивности 3–5 дней в неделю)</t>
  </si>
  <si>
    <t>Средняя активность (занятия 3-5 раз в неделю)</t>
  </si>
  <si>
    <t>Потребности клиента</t>
  </si>
  <si>
    <t>Очень активные</t>
  </si>
  <si>
    <t>для очень активных людей (физическая работа плюс тренировки либо интесивные тренировки 6–7 раз в неделю);</t>
  </si>
  <si>
    <t>Активные люди (интенсивные нагрузки, занятия 6-7 раз в неделю)</t>
  </si>
  <si>
    <t>Предельно активные</t>
  </si>
  <si>
    <t xml:space="preserve">для предельно активных людей (физическая работа плюс очень интенсивные тренировки/занятия спортом).                                </t>
  </si>
  <si>
    <t>Спортсмены и люди, выполняющие сходные нагрузки (6-7 раз в неделю)</t>
  </si>
  <si>
    <t>Итого:</t>
  </si>
  <si>
    <t>Для мужчин:</t>
  </si>
  <si>
    <t xml:space="preserve">10 × вес (кг) </t>
  </si>
  <si>
    <t xml:space="preserve"> (+) 6,25 × рост (см) </t>
  </si>
  <si>
    <t xml:space="preserve"> (−) 5 × возраст (лет)</t>
  </si>
  <si>
    <t>(+) 5</t>
  </si>
  <si>
    <t>На нынешний вес:</t>
  </si>
  <si>
    <t>На желаемый вес:</t>
  </si>
  <si>
    <t>Для женщин</t>
  </si>
  <si>
    <t>(-) 161</t>
  </si>
  <si>
    <t>Суточные энерготраты учетом коэффициента подвижности:</t>
  </si>
  <si>
    <t>Коэффициенты физической активности</t>
  </si>
  <si>
    <t>для малоподвижных людей (тренировок мало или они отсутствуют);</t>
  </si>
  <si>
    <t>для людей с низкой активностью (легкие тренировки 1–3 раза в неделю);</t>
  </si>
  <si>
    <t>для предельно активных людей (физическая работа плюс очень интенсивные тренировки/занятия спортом).</t>
  </si>
  <si>
    <t>Для мужчин на поддержание:</t>
  </si>
  <si>
    <t>13,397 * вес в кг</t>
  </si>
  <si>
    <t xml:space="preserve"> (+) 4,799 * рост в см</t>
  </si>
  <si>
    <t xml:space="preserve"> (−) 5,677 * возраст в годах</t>
  </si>
  <si>
    <t>(+) 88,362</t>
  </si>
  <si>
    <t>Для женщин на поддержание</t>
  </si>
  <si>
    <t>9,247 * вес в кг</t>
  </si>
  <si>
    <t xml:space="preserve"> (+) 3,098 * рост в см</t>
  </si>
  <si>
    <t xml:space="preserve"> (−) 4,330 * возраст в годах</t>
  </si>
  <si>
    <t>(+) 447,593</t>
  </si>
  <si>
    <t>Суточное потребление питательных веществ</t>
  </si>
  <si>
    <t>Рассчет на поддержание нынешнего веса по формуле Миффлина-Джеора</t>
  </si>
  <si>
    <t>Рассчет на поддержание нынешнего веса по формуле Харриса-Бенедикта (1984 г)</t>
  </si>
  <si>
    <t>Среднее арифметическое</t>
  </si>
  <si>
    <t>Дефицит калорий</t>
  </si>
  <si>
    <t>Итоговая рекомендуемая калорийность рациона</t>
  </si>
  <si>
    <t>Прогнозируемое изменение веса за 30 дней:</t>
  </si>
  <si>
    <t>Дефицит калорий рассчитывается с учетом рассчета по количеству углеводов, чтобы итоговая цифра углеводов в грамах на кг веса была не меньше нижней рекомендованной границы</t>
  </si>
  <si>
    <t>г/кг текущего веса при нормальном ИМТ, рекомендованного, при отклонении от нормы</t>
  </si>
  <si>
    <t>Питательные вещества</t>
  </si>
  <si>
    <t>г/кг</t>
  </si>
  <si>
    <t>г/день</t>
  </si>
  <si>
    <t>Ккал/день
(Б 4 ккал/г, Ж 9 ккал/г, У 4 ккал/г)</t>
  </si>
  <si>
    <t>% калорий от нутриента от общей калорийности рациона</t>
  </si>
  <si>
    <t>Необходимое количество порций продуктов в день</t>
  </si>
  <si>
    <t>&lt;- с учетом привычного распредения нутриентов</t>
  </si>
  <si>
    <t>Низкая двигательная активность</t>
  </si>
  <si>
    <t>Средняя двигательная активность</t>
  </si>
  <si>
    <t>Высокая двигательная активность</t>
  </si>
  <si>
    <t>Белки</t>
  </si>
  <si>
    <t>0,8 - 1,2
(+0,2 - 0,4 при рационе с дефицитом калорий)</t>
  </si>
  <si>
    <t>1,2 - 1,4
(+0,2 - 0,4 при рационе с дефицитом калорий)</t>
  </si>
  <si>
    <t>1,4 - 1,8
(+0,2 - 0,4 при рационе с дефицитом калорий)</t>
  </si>
  <si>
    <t>Жиры</t>
  </si>
  <si>
    <t>0,8 - 1,2</t>
  </si>
  <si>
    <t>1 - 1,5</t>
  </si>
  <si>
    <t>Углеводы</t>
  </si>
  <si>
    <t>3 - 5</t>
  </si>
  <si>
    <t>5 - 7</t>
  </si>
  <si>
    <t>7 - 10</t>
  </si>
  <si>
    <t>Рассчет углеводов:</t>
  </si>
  <si>
    <t>(Итоговая рекомендуемая калорийность рациона - калорийность белков в день - калорийность жиров день) / 4 ккал/г</t>
  </si>
  <si>
    <t>Тестовая проверка: сумма дневной калорийности БЖУ должна быть ровна ранее рассчитанной, а сумма процентов %БЖУ ровна 100</t>
  </si>
  <si>
    <t>Сравнение полученных данных с нормативами</t>
  </si>
  <si>
    <t>Белки, г</t>
  </si>
  <si>
    <t>Жиры, г</t>
  </si>
  <si>
    <t>Углеводы, г</t>
  </si>
  <si>
    <t>Энергия, ккал</t>
  </si>
  <si>
    <t>Нормативы</t>
  </si>
  <si>
    <t>&lt;- Итоговая рекомендуемая калорийность рациона</t>
  </si>
  <si>
    <t>Дневное потребление</t>
  </si>
  <si>
    <t>% отношение</t>
  </si>
  <si>
    <t>Превышение/занижение имеющегося количества относительно нормативов (в %)</t>
  </si>
  <si>
    <t>Количество дней</t>
  </si>
  <si>
    <t>Предполагаемое изменение веса за счет избытка/недостатка белка</t>
  </si>
  <si>
    <t>Предполагаемое изменение веса за счет избытка/недостатка жира</t>
  </si>
  <si>
    <t>Предполагаемое изменение веса за счет избытка/недостатка углеводов</t>
  </si>
  <si>
    <t>Предполагаемое итоговое изменение веса за счет избытка/недостатка калорий</t>
  </si>
  <si>
    <t>&lt;- расчитала ради интереса (=(дневное потребление в г - нормативы в г) * на энергетическую емкость нутриента * количество дней / на энергетическую емкость жировой ткани (8 ккал/г))
Цифры явно не совсем точные, потому что они по разнице анализируемого рациона и рекомендованным цифрам по макронутриентам с учетом дефицита (в последней колонке - учитывается) + не все же на 100% откладывается в виде жировых запасов + никак не учитывается возрастание потребностей организма + не учитывается адаптация + не все дни с такой калорийностью, но все же...
Думаю, что человеку это показывать опасно во избежание РПП.</t>
  </si>
  <si>
    <t>Комментарии к сравнению:</t>
  </si>
  <si>
    <t>Сравнение наглядно показывает завышение как и общей калорийности рациона, так и каждого макронутриента (в особенности - жиров).
Рекомендуется снижение калорийности рациона, уменьшение количества потребляемых жиров, замена части привычных источников жиров на более рациональные. Увеличение количества низкоэнергетических продуктов и продуктов с более высоким соотношением содержащихся белков относительно жиров.</t>
  </si>
  <si>
    <t>Распределение суточной калорийности в течение дня по приемам пищи.</t>
  </si>
  <si>
    <t>Суточная потребность в калориях (СПК)</t>
  </si>
  <si>
    <t>Белки г/день</t>
  </si>
  <si>
    <t>Белки % соотношение от СПК</t>
  </si>
  <si>
    <t>Жиры г/день</t>
  </si>
  <si>
    <t>Жиры % соотношение от СПК</t>
  </si>
  <si>
    <t>Углеводы г/день</t>
  </si>
  <si>
    <t>Углеводы % соотношение от СПК</t>
  </si>
  <si>
    <t>На всей странице цифры отображаются без знаков после запятых, но в расчете они учитываются, поэтому иногда расчет может выглядеть странно, потому что итоговые значения округлены. Во всех таблицах ниже можно заполнять данные только в жирненьких ячейках, остальное считается автоматически.</t>
  </si>
  <si>
    <t>3-разовое питание</t>
  </si>
  <si>
    <t>Прием пищи</t>
  </si>
  <si>
    <t>% от СПК</t>
  </si>
  <si>
    <t>Калорийность приема пищи</t>
  </si>
  <si>
    <t>Макронутриент</t>
  </si>
  <si>
    <t>% содержание макронутриента в приеме пищи от общего потребления за день</t>
  </si>
  <si>
    <t>% содержание макронутриента в приеме пищи от потребления калорийности приема пищи</t>
  </si>
  <si>
    <t>Калорийность от конкретных макронутриентов в приеме пищи</t>
  </si>
  <si>
    <t>Граммов нутриентов в приеме пищи</t>
  </si>
  <si>
    <t>Завтрак</t>
  </si>
  <si>
    <t>Обед</t>
  </si>
  <si>
    <t>Ужин</t>
  </si>
  <si>
    <t>Проверка расчетов</t>
  </si>
  <si>
    <t>Сумма % за день должна быть ровна 100</t>
  </si>
  <si>
    <t>Разница между суммой калорийности приемов пищи и СПК должна быть ровна 0</t>
  </si>
  <si>
    <t>Суммарное количество % по каждому нутриенту должно быть равно 100</t>
  </si>
  <si>
    <t>Разница между суммой г макронутриента и г/день макронутриента должна быть ровна 0</t>
  </si>
  <si>
    <t>4-разовое питание</t>
  </si>
  <si>
    <t>Перекус</t>
  </si>
  <si>
    <t>5-разовое питание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</si>
</sst>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0"/>
      <color rgb="FF000000"/>
      <name val="Arial"/>
    </font>
    <font>
      <sz val="10"/>
      <name val="Arial"/>
    </font>
    <font>
      <b/>
      <sz val="14"/>
      <color rgb="FFFF0000"/>
      <name val="Arial"/>
    </font>
    <font>
      <b/>
      <sz val="18"/>
      <name val="Arial"/>
    </font>
    <font>
      <sz val="10"/>
      <name val="&quot;Arial&quot;"/>
    </font>
    <font>
      <i/>
      <sz val="10"/>
      <name val="&quot;Arial&quot;"/>
    </font>
    <font>
      <i/>
      <sz val="9"/>
      <color rgb="FF000000"/>
      <name val="Verdana"/>
    </font>
    <font>
      <b/>
      <sz val="18"/>
      <name val="Arial"/>
    </font>
    <font>
      <i/>
      <sz val="10"/>
      <color rgb="FFFF0000"/>
      <name val="Arial"/>
    </font>
    <font>
      <b/>
      <sz val="10"/>
      <color rgb="FF000000"/>
      <name val="Arial"/>
    </font>
    <font>
      <sz val="10"/>
      <color rgb="FFFF0000"/>
      <name val="Arial"/>
    </font>
    <font>
      <i/>
      <sz val="10"/>
      <color rgb="FF0000FF"/>
      <name val="Arial"/>
    </font>
    <font>
      <b/>
      <sz val="10"/>
      <name val="&quot;Arial&quot;"/>
    </font>
    <font>
      <b/>
      <sz val="10"/>
      <name val="Arial"/>
    </font>
    <font>
      <b/>
      <sz val="18"/>
      <name val="&quot;Calibri&quot;"/>
    </font>
    <font>
      <b/>
      <i/>
      <sz val="10"/>
      <color rgb="FFFF0000"/>
      <name val="Arial"/>
    </font>
    <font>
      <b/>
      <sz val="14"/>
      <name val="Arial"/>
    </font>
  </fonts>
  <fills count="7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00FF00"/>
        <bgColor rgb="FF00FF00"/>
      </patternFill>
    </fill>
    <fill>
      <patternFill patternType="solid">
        <fgColor rgb="FFD0E0E3"/>
        <bgColor rgb="FFD0E0E3"/>
      </patternFill>
    </fill>
    <fill>
      <patternFill patternType="solid">
        <fgColor rgb="FFFFF2CC"/>
        <bgColor rgb="FFFFF2CC"/>
      </patternFill>
    </fill>
    <fill>
      <patternFill patternType="solid">
        <fgColor rgb="FFF4CCCC"/>
        <bgColor rgb="FFF4CCCC"/>
      </patternFill>
    </fill>
  </fills>
  <borders count="53">
    <border>
      <left/>
      <right/>
      <top/>
      <bottom/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</borders>
  <cellStyleXfs count="1">
    <xf numFmtId="0" fontId="0" fillId="0" borderId="0"/>
  </cellStyleXfs>
  <cellXfs count="134">
    <xf numFmtId="0" fontId="0" fillId="0" borderId="0" xfId="0" applyFont="1" applyAlignment="1"/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wrapText="1"/>
    </xf>
    <xf numFmtId="0" fontId="1" fillId="0" borderId="0" xfId="0" applyFont="1" applyAlignment="1">
      <alignment wrapText="1"/>
    </xf>
    <xf numFmtId="0" fontId="1" fillId="0" borderId="4" xfId="0" applyFont="1" applyBorder="1" applyAlignment="1">
      <alignment wrapText="1"/>
    </xf>
    <xf numFmtId="0" fontId="1" fillId="0" borderId="5" xfId="0" applyFont="1" applyBorder="1" applyAlignment="1">
      <alignment wrapText="1"/>
    </xf>
    <xf numFmtId="0" fontId="1" fillId="2" borderId="6" xfId="0" applyFont="1" applyFill="1" applyBorder="1" applyAlignment="1">
      <alignment wrapText="1"/>
    </xf>
    <xf numFmtId="0" fontId="1" fillId="2" borderId="7" xfId="0" applyFont="1" applyFill="1" applyBorder="1" applyAlignment="1">
      <alignment wrapText="1"/>
    </xf>
    <xf numFmtId="0" fontId="1" fillId="0" borderId="8" xfId="0" applyFont="1" applyBorder="1" applyAlignment="1">
      <alignment wrapText="1"/>
    </xf>
    <xf numFmtId="0" fontId="1" fillId="0" borderId="9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1" fillId="0" borderId="7" xfId="0" applyFont="1" applyBorder="1" applyAlignment="1">
      <alignment wrapText="1"/>
    </xf>
    <xf numFmtId="0" fontId="1" fillId="0" borderId="10" xfId="0" applyFont="1" applyBorder="1" applyAlignment="1">
      <alignment wrapText="1"/>
    </xf>
    <xf numFmtId="0" fontId="1" fillId="0" borderId="11" xfId="0" applyFont="1" applyBorder="1" applyAlignment="1">
      <alignment wrapText="1"/>
    </xf>
    <xf numFmtId="0" fontId="1" fillId="2" borderId="12" xfId="0" applyFont="1" applyFill="1" applyBorder="1" applyAlignment="1">
      <alignment wrapText="1"/>
    </xf>
    <xf numFmtId="0" fontId="1" fillId="0" borderId="12" xfId="0" applyFont="1" applyBorder="1" applyAlignment="1">
      <alignment wrapText="1"/>
    </xf>
    <xf numFmtId="0" fontId="1" fillId="0" borderId="13" xfId="0" applyFont="1" applyBorder="1" applyAlignment="1">
      <alignment wrapText="1"/>
    </xf>
    <xf numFmtId="0" fontId="1" fillId="0" borderId="14" xfId="0" applyFont="1" applyBorder="1" applyAlignment="1">
      <alignment wrapText="1"/>
    </xf>
    <xf numFmtId="0" fontId="1" fillId="0" borderId="0" xfId="0" applyFont="1" applyAlignment="1">
      <alignment wrapText="1"/>
    </xf>
    <xf numFmtId="0" fontId="3" fillId="0" borderId="0" xfId="0" applyFont="1" applyAlignment="1"/>
    <xf numFmtId="0" fontId="1" fillId="0" borderId="15" xfId="0" applyFont="1" applyBorder="1" applyAlignment="1">
      <alignment wrapText="1"/>
    </xf>
    <xf numFmtId="0" fontId="4" fillId="0" borderId="7" xfId="0" applyFont="1" applyBorder="1" applyAlignment="1">
      <alignment wrapText="1"/>
    </xf>
    <xf numFmtId="0" fontId="1" fillId="0" borderId="7" xfId="0" applyFont="1" applyBorder="1" applyAlignment="1">
      <alignment wrapText="1"/>
    </xf>
    <xf numFmtId="1" fontId="1" fillId="0" borderId="7" xfId="0" applyNumberFormat="1" applyFont="1" applyBorder="1" applyAlignment="1">
      <alignment wrapText="1"/>
    </xf>
    <xf numFmtId="1" fontId="1" fillId="0" borderId="7" xfId="0" applyNumberFormat="1" applyFont="1" applyBorder="1" applyAlignment="1">
      <alignment wrapText="1"/>
    </xf>
    <xf numFmtId="1" fontId="1" fillId="0" borderId="16" xfId="0" applyNumberFormat="1" applyFont="1" applyBorder="1" applyAlignment="1">
      <alignment wrapText="1"/>
    </xf>
    <xf numFmtId="1" fontId="1" fillId="0" borderId="16" xfId="0" applyNumberFormat="1" applyFont="1" applyBorder="1" applyAlignment="1">
      <alignment wrapText="1"/>
    </xf>
    <xf numFmtId="0" fontId="1" fillId="0" borderId="17" xfId="0" applyFont="1" applyBorder="1" applyAlignment="1">
      <alignment wrapText="1"/>
    </xf>
    <xf numFmtId="0" fontId="1" fillId="0" borderId="18" xfId="0" applyFont="1" applyBorder="1" applyAlignment="1">
      <alignment wrapText="1"/>
    </xf>
    <xf numFmtId="0" fontId="4" fillId="0" borderId="18" xfId="0" applyFont="1" applyBorder="1" applyAlignment="1">
      <alignment wrapText="1"/>
    </xf>
    <xf numFmtId="0" fontId="1" fillId="0" borderId="19" xfId="0" applyFont="1" applyBorder="1" applyAlignment="1">
      <alignment wrapText="1"/>
    </xf>
    <xf numFmtId="1" fontId="1" fillId="0" borderId="0" xfId="0" applyNumberFormat="1" applyFont="1" applyAlignment="1">
      <alignment wrapText="1"/>
    </xf>
    <xf numFmtId="0" fontId="5" fillId="0" borderId="0" xfId="0" applyFont="1" applyAlignment="1">
      <alignment wrapText="1"/>
    </xf>
    <xf numFmtId="0" fontId="7" fillId="0" borderId="0" xfId="0" applyFont="1" applyAlignment="1"/>
    <xf numFmtId="0" fontId="1" fillId="0" borderId="22" xfId="0" applyFont="1" applyBorder="1" applyAlignment="1">
      <alignment wrapText="1"/>
    </xf>
    <xf numFmtId="1" fontId="1" fillId="3" borderId="6" xfId="0" applyNumberFormat="1" applyFont="1" applyFill="1" applyBorder="1" applyAlignment="1">
      <alignment wrapText="1"/>
    </xf>
    <xf numFmtId="1" fontId="1" fillId="0" borderId="19" xfId="0" applyNumberFormat="1" applyFont="1" applyBorder="1" applyAlignment="1">
      <alignment wrapText="1"/>
    </xf>
    <xf numFmtId="1" fontId="1" fillId="2" borderId="23" xfId="0" applyNumberFormat="1" applyFont="1" applyFill="1" applyBorder="1" applyAlignment="1">
      <alignment wrapText="1"/>
    </xf>
    <xf numFmtId="1" fontId="1" fillId="3" borderId="23" xfId="0" applyNumberFormat="1" applyFont="1" applyFill="1" applyBorder="1" applyAlignment="1">
      <alignment wrapText="1"/>
    </xf>
    <xf numFmtId="1" fontId="1" fillId="0" borderId="24" xfId="0" applyNumberFormat="1" applyFont="1" applyBorder="1" applyAlignment="1">
      <alignment wrapText="1"/>
    </xf>
    <xf numFmtId="0" fontId="1" fillId="0" borderId="27" xfId="0" applyFont="1" applyBorder="1" applyAlignment="1">
      <alignment wrapText="1"/>
    </xf>
    <xf numFmtId="0" fontId="8" fillId="0" borderId="7" xfId="0" applyFont="1" applyBorder="1" applyAlignment="1">
      <alignment wrapText="1"/>
    </xf>
    <xf numFmtId="0" fontId="1" fillId="3" borderId="7" xfId="0" applyFont="1" applyFill="1" applyBorder="1" applyAlignment="1">
      <alignment wrapText="1"/>
    </xf>
    <xf numFmtId="4" fontId="9" fillId="2" borderId="7" xfId="0" applyNumberFormat="1" applyFont="1" applyFill="1" applyBorder="1" applyAlignment="1">
      <alignment wrapText="1"/>
    </xf>
    <xf numFmtId="4" fontId="1" fillId="0" borderId="19" xfId="0" applyNumberFormat="1" applyFont="1" applyBorder="1" applyAlignment="1">
      <alignment wrapText="1"/>
    </xf>
    <xf numFmtId="4" fontId="1" fillId="0" borderId="7" xfId="0" applyNumberFormat="1" applyFont="1" applyBorder="1" applyAlignment="1">
      <alignment wrapText="1"/>
    </xf>
    <xf numFmtId="4" fontId="1" fillId="0" borderId="7" xfId="0" applyNumberFormat="1" applyFont="1" applyBorder="1" applyAlignment="1">
      <alignment wrapText="1"/>
    </xf>
    <xf numFmtId="4" fontId="9" fillId="3" borderId="7" xfId="0" applyNumberFormat="1" applyFont="1" applyFill="1" applyBorder="1" applyAlignment="1">
      <alignment wrapText="1"/>
    </xf>
    <xf numFmtId="0" fontId="10" fillId="3" borderId="7" xfId="0" applyFont="1" applyFill="1" applyBorder="1" applyAlignment="1">
      <alignment wrapText="1"/>
    </xf>
    <xf numFmtId="4" fontId="11" fillId="0" borderId="7" xfId="0" applyNumberFormat="1" applyFont="1" applyBorder="1" applyAlignment="1">
      <alignment wrapText="1"/>
    </xf>
    <xf numFmtId="0" fontId="1" fillId="0" borderId="7" xfId="0" applyFont="1" applyBorder="1" applyAlignment="1">
      <alignment vertical="top" wrapText="1"/>
    </xf>
    <xf numFmtId="0" fontId="12" fillId="0" borderId="7" xfId="0" applyFont="1" applyBorder="1" applyAlignment="1">
      <alignment horizontal="center" wrapText="1"/>
    </xf>
    <xf numFmtId="0" fontId="12" fillId="0" borderId="7" xfId="0" applyFont="1" applyBorder="1" applyAlignment="1">
      <alignment vertical="top" wrapText="1"/>
    </xf>
    <xf numFmtId="1" fontId="1" fillId="0" borderId="28" xfId="0" applyNumberFormat="1" applyFont="1" applyBorder="1" applyAlignment="1">
      <alignment wrapText="1"/>
    </xf>
    <xf numFmtId="0" fontId="8" fillId="0" borderId="0" xfId="0" applyFont="1" applyAlignment="1">
      <alignment wrapText="1"/>
    </xf>
    <xf numFmtId="1" fontId="1" fillId="2" borderId="28" xfId="0" applyNumberFormat="1" applyFont="1" applyFill="1" applyBorder="1" applyAlignment="1">
      <alignment wrapText="1"/>
    </xf>
    <xf numFmtId="0" fontId="12" fillId="0" borderId="16" xfId="0" applyFont="1" applyBorder="1" applyAlignment="1">
      <alignment vertical="top" wrapText="1"/>
    </xf>
    <xf numFmtId="10" fontId="1" fillId="0" borderId="29" xfId="0" applyNumberFormat="1" applyFont="1" applyBorder="1" applyAlignment="1">
      <alignment wrapText="1"/>
    </xf>
    <xf numFmtId="0" fontId="13" fillId="0" borderId="7" xfId="0" applyFont="1" applyBorder="1" applyAlignment="1">
      <alignment wrapText="1"/>
    </xf>
    <xf numFmtId="10" fontId="1" fillId="0" borderId="7" xfId="0" applyNumberFormat="1" applyFont="1" applyBorder="1" applyAlignment="1">
      <alignment wrapText="1"/>
    </xf>
    <xf numFmtId="1" fontId="1" fillId="2" borderId="7" xfId="0" applyNumberFormat="1" applyFont="1" applyFill="1" applyBorder="1" applyAlignment="1">
      <alignment wrapText="1"/>
    </xf>
    <xf numFmtId="1" fontId="1" fillId="2" borderId="16" xfId="0" applyNumberFormat="1" applyFont="1" applyFill="1" applyBorder="1" applyAlignment="1">
      <alignment wrapText="1"/>
    </xf>
    <xf numFmtId="0" fontId="1" fillId="0" borderId="30" xfId="0" applyFont="1" applyBorder="1" applyAlignment="1">
      <alignment wrapText="1"/>
    </xf>
    <xf numFmtId="0" fontId="1" fillId="0" borderId="30" xfId="0" applyFont="1" applyBorder="1" applyAlignment="1">
      <alignment wrapText="1"/>
    </xf>
    <xf numFmtId="0" fontId="14" fillId="0" borderId="0" xfId="0" applyFont="1" applyAlignment="1"/>
    <xf numFmtId="0" fontId="1" fillId="0" borderId="16" xfId="0" applyFont="1" applyBorder="1" applyAlignment="1">
      <alignment wrapText="1"/>
    </xf>
    <xf numFmtId="10" fontId="1" fillId="0" borderId="7" xfId="0" applyNumberFormat="1" applyFont="1" applyBorder="1" applyAlignment="1">
      <alignment wrapText="1"/>
    </xf>
    <xf numFmtId="0" fontId="1" fillId="4" borderId="19" xfId="0" applyFont="1" applyFill="1" applyBorder="1" applyAlignment="1">
      <alignment wrapText="1"/>
    </xf>
    <xf numFmtId="10" fontId="1" fillId="2" borderId="23" xfId="0" applyNumberFormat="1" applyFont="1" applyFill="1" applyBorder="1" applyAlignment="1">
      <alignment wrapText="1"/>
    </xf>
    <xf numFmtId="10" fontId="1" fillId="4" borderId="20" xfId="0" applyNumberFormat="1" applyFont="1" applyFill="1" applyBorder="1"/>
    <xf numFmtId="3" fontId="1" fillId="4" borderId="7" xfId="0" applyNumberFormat="1" applyFont="1" applyFill="1" applyBorder="1" applyAlignment="1">
      <alignment wrapText="1"/>
    </xf>
    <xf numFmtId="0" fontId="1" fillId="5" borderId="19" xfId="0" applyFont="1" applyFill="1" applyBorder="1" applyAlignment="1">
      <alignment wrapText="1"/>
    </xf>
    <xf numFmtId="10" fontId="1" fillId="5" borderId="20" xfId="0" applyNumberFormat="1" applyFont="1" applyFill="1" applyBorder="1"/>
    <xf numFmtId="3" fontId="1" fillId="5" borderId="7" xfId="0" applyNumberFormat="1" applyFont="1" applyFill="1" applyBorder="1" applyAlignment="1">
      <alignment wrapText="1"/>
    </xf>
    <xf numFmtId="0" fontId="1" fillId="6" borderId="19" xfId="0" applyFont="1" applyFill="1" applyBorder="1" applyAlignment="1">
      <alignment wrapText="1"/>
    </xf>
    <xf numFmtId="10" fontId="1" fillId="6" borderId="20" xfId="0" applyNumberFormat="1" applyFont="1" applyFill="1" applyBorder="1"/>
    <xf numFmtId="3" fontId="1" fillId="6" borderId="7" xfId="0" applyNumberFormat="1" applyFont="1" applyFill="1" applyBorder="1" applyAlignment="1">
      <alignment wrapText="1"/>
    </xf>
    <xf numFmtId="10" fontId="1" fillId="4" borderId="18" xfId="0" applyNumberFormat="1" applyFont="1" applyFill="1" applyBorder="1" applyAlignment="1">
      <alignment wrapText="1"/>
    </xf>
    <xf numFmtId="10" fontId="1" fillId="5" borderId="7" xfId="0" applyNumberFormat="1" applyFont="1" applyFill="1" applyBorder="1" applyAlignment="1">
      <alignment wrapText="1"/>
    </xf>
    <xf numFmtId="10" fontId="1" fillId="6" borderId="7" xfId="0" applyNumberFormat="1" applyFont="1" applyFill="1" applyBorder="1" applyAlignment="1">
      <alignment wrapText="1"/>
    </xf>
    <xf numFmtId="10" fontId="1" fillId="0" borderId="0" xfId="0" applyNumberFormat="1" applyFont="1" applyAlignment="1">
      <alignment wrapText="1"/>
    </xf>
    <xf numFmtId="3" fontId="1" fillId="0" borderId="0" xfId="0" applyNumberFormat="1" applyFont="1" applyAlignment="1">
      <alignment wrapText="1"/>
    </xf>
    <xf numFmtId="0" fontId="1" fillId="4" borderId="7" xfId="0" applyFont="1" applyFill="1" applyBorder="1" applyAlignment="1">
      <alignment wrapText="1"/>
    </xf>
    <xf numFmtId="10" fontId="1" fillId="4" borderId="18" xfId="0" applyNumberFormat="1" applyFont="1" applyFill="1" applyBorder="1" applyAlignment="1">
      <alignment wrapText="1"/>
    </xf>
    <xf numFmtId="0" fontId="1" fillId="5" borderId="7" xfId="0" applyFont="1" applyFill="1" applyBorder="1" applyAlignment="1">
      <alignment wrapText="1"/>
    </xf>
    <xf numFmtId="10" fontId="1" fillId="5" borderId="7" xfId="0" applyNumberFormat="1" applyFont="1" applyFill="1" applyBorder="1" applyAlignment="1">
      <alignment wrapText="1"/>
    </xf>
    <xf numFmtId="0" fontId="1" fillId="6" borderId="7" xfId="0" applyFont="1" applyFill="1" applyBorder="1" applyAlignment="1">
      <alignment wrapText="1"/>
    </xf>
    <xf numFmtId="0" fontId="1" fillId="0" borderId="16" xfId="0" applyFont="1" applyBorder="1" applyAlignment="1">
      <alignment wrapText="1"/>
    </xf>
    <xf numFmtId="0" fontId="1" fillId="0" borderId="32" xfId="0" applyFont="1" applyBorder="1"/>
    <xf numFmtId="0" fontId="1" fillId="0" borderId="18" xfId="0" applyFont="1" applyBorder="1"/>
    <xf numFmtId="10" fontId="1" fillId="0" borderId="16" xfId="0" applyNumberFormat="1" applyFont="1" applyBorder="1" applyAlignment="1">
      <alignment wrapText="1"/>
    </xf>
    <xf numFmtId="3" fontId="1" fillId="0" borderId="16" xfId="0" applyNumberFormat="1" applyFont="1" applyBorder="1" applyAlignment="1">
      <alignment wrapText="1"/>
    </xf>
    <xf numFmtId="0" fontId="16" fillId="0" borderId="0" xfId="0" applyFont="1" applyAlignment="1">
      <alignment wrapText="1"/>
    </xf>
    <xf numFmtId="0" fontId="0" fillId="0" borderId="0" xfId="0" applyFont="1" applyAlignment="1"/>
    <xf numFmtId="0" fontId="2" fillId="0" borderId="0" xfId="0" applyFont="1" applyAlignment="1">
      <alignment wrapText="1"/>
    </xf>
    <xf numFmtId="0" fontId="1" fillId="0" borderId="19" xfId="0" applyFont="1" applyBorder="1" applyAlignment="1">
      <alignment wrapText="1"/>
    </xf>
    <xf numFmtId="0" fontId="1" fillId="0" borderId="17" xfId="0" applyFont="1" applyBorder="1"/>
    <xf numFmtId="0" fontId="1" fillId="0" borderId="20" xfId="0" applyFont="1" applyBorder="1"/>
    <xf numFmtId="0" fontId="5" fillId="0" borderId="19" xfId="0" applyFont="1" applyBorder="1" applyAlignment="1">
      <alignment wrapText="1"/>
    </xf>
    <xf numFmtId="0" fontId="1" fillId="0" borderId="21" xfId="0" applyFont="1" applyBorder="1"/>
    <xf numFmtId="0" fontId="8" fillId="0" borderId="25" xfId="0" applyFont="1" applyBorder="1" applyAlignment="1">
      <alignment wrapText="1"/>
    </xf>
    <xf numFmtId="0" fontId="1" fillId="0" borderId="26" xfId="0" applyFont="1" applyBorder="1"/>
    <xf numFmtId="0" fontId="8" fillId="0" borderId="19" xfId="0" applyFont="1" applyBorder="1" applyAlignment="1">
      <alignment wrapText="1"/>
    </xf>
    <xf numFmtId="0" fontId="11" fillId="0" borderId="19" xfId="0" applyFont="1" applyBorder="1" applyAlignment="1">
      <alignment wrapText="1"/>
    </xf>
    <xf numFmtId="0" fontId="8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15" fillId="0" borderId="0" xfId="0" applyFont="1" applyAlignment="1">
      <alignment wrapText="1"/>
    </xf>
    <xf numFmtId="3" fontId="1" fillId="0" borderId="31" xfId="0" applyNumberFormat="1" applyFont="1" applyBorder="1" applyAlignment="1">
      <alignment wrapText="1"/>
    </xf>
    <xf numFmtId="0" fontId="1" fillId="0" borderId="33" xfId="0" applyFont="1" applyBorder="1"/>
    <xf numFmtId="0" fontId="1" fillId="0" borderId="27" xfId="0" applyFont="1" applyBorder="1"/>
    <xf numFmtId="0" fontId="1" fillId="0" borderId="34" xfId="0" applyFont="1" applyBorder="1" applyAlignment="1">
      <alignment wrapText="1"/>
    </xf>
    <xf numFmtId="0" fontId="1" fillId="0" borderId="35" xfId="0" applyFont="1" applyBorder="1"/>
    <xf numFmtId="0" fontId="1" fillId="0" borderId="36" xfId="0" applyFont="1" applyBorder="1"/>
    <xf numFmtId="0" fontId="1" fillId="0" borderId="37" xfId="0" applyFont="1" applyBorder="1" applyAlignment="1">
      <alignment wrapText="1"/>
    </xf>
    <xf numFmtId="0" fontId="1" fillId="0" borderId="38" xfId="0" applyFont="1" applyBorder="1" applyAlignment="1">
      <alignment wrapText="1"/>
    </xf>
    <xf numFmtId="0" fontId="1" fillId="0" borderId="39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1" fillId="0" borderId="40" xfId="0" applyFont="1" applyBorder="1" applyAlignment="1">
      <alignment wrapText="1"/>
    </xf>
    <xf numFmtId="0" fontId="1" fillId="0" borderId="41" xfId="0" applyFont="1" applyBorder="1" applyAlignment="1">
      <alignment wrapText="1"/>
    </xf>
    <xf numFmtId="0" fontId="1" fillId="0" borderId="42" xfId="0" applyFont="1" applyBorder="1" applyAlignment="1">
      <alignment wrapText="1"/>
    </xf>
    <xf numFmtId="0" fontId="1" fillId="0" borderId="43" xfId="0" applyFont="1" applyBorder="1" applyAlignment="1">
      <alignment wrapText="1"/>
    </xf>
    <xf numFmtId="0" fontId="1" fillId="0" borderId="44" xfId="0" applyFont="1" applyBorder="1" applyAlignment="1">
      <alignment wrapText="1"/>
    </xf>
    <xf numFmtId="0" fontId="1" fillId="0" borderId="45" xfId="0" applyFont="1" applyBorder="1" applyAlignment="1">
      <alignment wrapText="1"/>
    </xf>
    <xf numFmtId="1" fontId="1" fillId="0" borderId="45" xfId="0" applyNumberFormat="1" applyFont="1" applyBorder="1" applyAlignment="1">
      <alignment wrapText="1"/>
    </xf>
    <xf numFmtId="0" fontId="1" fillId="0" borderId="46" xfId="0" applyFont="1" applyBorder="1" applyAlignment="1">
      <alignment wrapText="1"/>
    </xf>
    <xf numFmtId="0" fontId="5" fillId="0" borderId="47" xfId="0" applyFont="1" applyBorder="1" applyAlignment="1">
      <alignment wrapText="1"/>
    </xf>
    <xf numFmtId="0" fontId="1" fillId="0" borderId="48" xfId="0" applyFont="1" applyBorder="1"/>
    <xf numFmtId="0" fontId="1" fillId="0" borderId="49" xfId="0" applyFont="1" applyBorder="1"/>
    <xf numFmtId="1" fontId="1" fillId="0" borderId="50" xfId="0" applyNumberFormat="1" applyFont="1" applyBorder="1" applyAlignment="1">
      <alignment wrapText="1"/>
    </xf>
    <xf numFmtId="1" fontId="1" fillId="0" borderId="51" xfId="0" applyNumberFormat="1" applyFont="1" applyBorder="1" applyAlignment="1">
      <alignment wrapText="1"/>
    </xf>
    <xf numFmtId="0" fontId="1" fillId="0" borderId="52" xfId="0" applyFont="1" applyBorder="1" applyAlignment="1">
      <alignment wrapText="1"/>
    </xf>
    <xf numFmtId="0" fontId="6" fillId="0" borderId="0" xfId="0" applyFont="1" applyBorder="1" applyAlignment="1">
      <alignment horizontal="left" wrapText="1"/>
    </xf>
    <xf numFmtId="0" fontId="0" fillId="0" borderId="0" xfId="0" applyFont="1" applyBorder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1011"/>
  <sheetViews>
    <sheetView tabSelected="1" topLeftCell="A49" workbookViewId="0">
      <selection activeCell="A45" sqref="A45:F45"/>
    </sheetView>
  </sheetViews>
  <sheetFormatPr defaultColWidth="12.5703125" defaultRowHeight="15.75" customHeight="1" outlineLevelRow="1"/>
  <cols>
    <col min="7" max="7" width="12.5703125" customWidth="1"/>
    <col min="8" max="8" width="12.42578125" customWidth="1"/>
    <col min="9" max="9" width="12.5703125" customWidth="1"/>
    <col min="10" max="10" width="12.28515625" customWidth="1"/>
    <col min="14" max="14" width="25.42578125" customWidth="1"/>
  </cols>
  <sheetData>
    <row r="1" spans="1:26" ht="89.25">
      <c r="A1" s="1">
        <v>26</v>
      </c>
      <c r="B1" s="2" t="s">
        <v>0</v>
      </c>
      <c r="C1" s="2" t="s">
        <v>1</v>
      </c>
      <c r="D1" s="2" t="s">
        <v>2</v>
      </c>
      <c r="E1" s="2" t="s">
        <v>3</v>
      </c>
      <c r="F1" s="3"/>
      <c r="G1" s="4"/>
      <c r="H1" s="95" t="s">
        <v>4</v>
      </c>
      <c r="I1" s="94"/>
      <c r="J1" s="94"/>
      <c r="K1" s="4"/>
      <c r="L1" s="5" t="s">
        <v>5</v>
      </c>
      <c r="M1" s="1" t="s">
        <v>6</v>
      </c>
      <c r="N1" s="2" t="s">
        <v>7</v>
      </c>
      <c r="O1" s="6" t="s">
        <v>8</v>
      </c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38.25">
      <c r="A2" s="7" t="s">
        <v>9</v>
      </c>
      <c r="B2" s="8">
        <v>50</v>
      </c>
      <c r="C2" s="8">
        <v>178</v>
      </c>
      <c r="D2" s="8">
        <v>95</v>
      </c>
      <c r="E2" s="8" t="s">
        <v>10</v>
      </c>
      <c r="F2" s="9" t="s">
        <v>11</v>
      </c>
      <c r="G2" s="4"/>
      <c r="H2" s="94"/>
      <c r="I2" s="94"/>
      <c r="J2" s="94"/>
      <c r="K2" s="4"/>
      <c r="L2" s="10" t="s">
        <v>9</v>
      </c>
      <c r="M2" s="11" t="s">
        <v>12</v>
      </c>
      <c r="N2" s="12" t="s">
        <v>13</v>
      </c>
      <c r="O2" s="13" t="s">
        <v>12</v>
      </c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02">
      <c r="A3" s="14"/>
      <c r="B3" s="15">
        <v>50</v>
      </c>
      <c r="C3" s="16"/>
      <c r="D3" s="15">
        <v>80</v>
      </c>
      <c r="E3" s="16"/>
      <c r="F3" s="17" t="s">
        <v>14</v>
      </c>
      <c r="G3" s="4"/>
      <c r="H3" s="94"/>
      <c r="I3" s="94"/>
      <c r="J3" s="94"/>
      <c r="K3" s="4"/>
      <c r="L3" s="18" t="s">
        <v>15</v>
      </c>
      <c r="M3" s="11" t="s">
        <v>16</v>
      </c>
      <c r="N3" s="12" t="s">
        <v>17</v>
      </c>
      <c r="O3" s="13" t="s">
        <v>18</v>
      </c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63.75">
      <c r="A4" s="19"/>
      <c r="B4" s="4"/>
      <c r="C4" s="4"/>
      <c r="D4" s="4"/>
      <c r="E4" s="4"/>
      <c r="F4" s="4"/>
      <c r="G4" s="4"/>
      <c r="H4" s="94"/>
      <c r="I4" s="94"/>
      <c r="J4" s="94"/>
      <c r="K4" s="4"/>
      <c r="L4" s="4"/>
      <c r="M4" s="11" t="s">
        <v>10</v>
      </c>
      <c r="N4" s="12" t="s">
        <v>19</v>
      </c>
      <c r="O4" s="13" t="s">
        <v>20</v>
      </c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91.5">
      <c r="A5" s="20" t="s">
        <v>21</v>
      </c>
      <c r="B5" s="4"/>
      <c r="C5" s="4"/>
      <c r="D5" s="4"/>
      <c r="E5" s="4"/>
      <c r="F5" s="4"/>
      <c r="G5" s="4"/>
      <c r="H5" s="94"/>
      <c r="I5" s="94"/>
      <c r="J5" s="94"/>
      <c r="K5" s="4"/>
      <c r="L5" s="4"/>
      <c r="M5" s="11" t="s">
        <v>22</v>
      </c>
      <c r="N5" s="12" t="s">
        <v>23</v>
      </c>
      <c r="O5" s="13" t="s">
        <v>24</v>
      </c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90" thickBot="1">
      <c r="A6" s="19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14" t="s">
        <v>25</v>
      </c>
      <c r="N6" s="16" t="s">
        <v>26</v>
      </c>
      <c r="O6" s="21" t="s">
        <v>27</v>
      </c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3.5" thickTop="1">
      <c r="A7" s="111" t="s">
        <v>7</v>
      </c>
      <c r="B7" s="112"/>
      <c r="C7" s="112"/>
      <c r="D7" s="112"/>
      <c r="E7" s="113"/>
      <c r="F7" s="114" t="s">
        <v>28</v>
      </c>
      <c r="G7" s="114"/>
      <c r="H7" s="115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25.5">
      <c r="A8" s="116" t="s">
        <v>29</v>
      </c>
      <c r="B8" s="23" t="s">
        <v>30</v>
      </c>
      <c r="C8" s="23" t="s">
        <v>31</v>
      </c>
      <c r="D8" s="23" t="s">
        <v>32</v>
      </c>
      <c r="E8" s="22" t="s">
        <v>33</v>
      </c>
      <c r="F8" s="23"/>
      <c r="G8" s="117"/>
      <c r="H8" s="118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38.25">
      <c r="A9" s="116" t="s">
        <v>34</v>
      </c>
      <c r="B9" s="25">
        <f t="shared" ref="B9:B10" si="0">10*D2</f>
        <v>950</v>
      </c>
      <c r="C9" s="25">
        <f t="shared" ref="C9:C10" si="1">6.25*C2</f>
        <v>1112.5</v>
      </c>
      <c r="D9" s="25">
        <f t="shared" ref="D9:D10" si="2">5*B2</f>
        <v>250</v>
      </c>
      <c r="E9" s="25">
        <v>5</v>
      </c>
      <c r="F9" s="25">
        <f t="shared" ref="F9:F10" si="3">B9+C9-D9+E9</f>
        <v>1817.5</v>
      </c>
      <c r="G9" s="117"/>
      <c r="H9" s="118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38.25">
      <c r="A10" s="119" t="s">
        <v>35</v>
      </c>
      <c r="B10" s="27">
        <f t="shared" si="0"/>
        <v>800</v>
      </c>
      <c r="C10" s="27">
        <f t="shared" si="1"/>
        <v>0</v>
      </c>
      <c r="D10" s="27">
        <f t="shared" si="2"/>
        <v>250</v>
      </c>
      <c r="E10" s="27">
        <v>5</v>
      </c>
      <c r="F10" s="25">
        <f t="shared" si="3"/>
        <v>555</v>
      </c>
      <c r="G10" s="117"/>
      <c r="H10" s="118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2.75">
      <c r="A11" s="120"/>
      <c r="B11" s="28"/>
      <c r="C11" s="28"/>
      <c r="D11" s="28"/>
      <c r="E11" s="28"/>
      <c r="F11" s="23"/>
      <c r="G11" s="117"/>
      <c r="H11" s="118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25.5">
      <c r="A12" s="121" t="s">
        <v>36</v>
      </c>
      <c r="B12" s="29" t="s">
        <v>30</v>
      </c>
      <c r="C12" s="29" t="s">
        <v>31</v>
      </c>
      <c r="D12" s="29" t="s">
        <v>32</v>
      </c>
      <c r="E12" s="30" t="s">
        <v>37</v>
      </c>
      <c r="F12" s="23"/>
      <c r="G12" s="117"/>
      <c r="H12" s="118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38.25">
      <c r="A13" s="116" t="s">
        <v>34</v>
      </c>
      <c r="B13" s="25">
        <f>10*$D$2</f>
        <v>950</v>
      </c>
      <c r="C13" s="25">
        <f>6.25*$C$2</f>
        <v>1112.5</v>
      </c>
      <c r="D13" s="25">
        <f>5*$B$2</f>
        <v>250</v>
      </c>
      <c r="E13" s="25">
        <v>161</v>
      </c>
      <c r="F13" s="25">
        <f t="shared" ref="F13:F14" si="4">B13+C13-D13-E13</f>
        <v>1651.5</v>
      </c>
      <c r="G13" s="117"/>
      <c r="H13" s="118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38.25">
      <c r="A14" s="116" t="s">
        <v>35</v>
      </c>
      <c r="B14" s="25">
        <f>10*D3</f>
        <v>800</v>
      </c>
      <c r="C14" s="25">
        <f>6.25*C3</f>
        <v>0</v>
      </c>
      <c r="D14" s="25">
        <f>5*B3</f>
        <v>250</v>
      </c>
      <c r="E14" s="25">
        <v>161</v>
      </c>
      <c r="F14" s="25">
        <f t="shared" si="4"/>
        <v>389</v>
      </c>
      <c r="G14" s="117"/>
      <c r="H14" s="118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2.75">
      <c r="A15" s="122"/>
      <c r="B15" s="117"/>
      <c r="C15" s="117"/>
      <c r="D15" s="117"/>
      <c r="E15" s="117"/>
      <c r="F15" s="117"/>
      <c r="G15" s="117"/>
      <c r="H15" s="118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89.25">
      <c r="A16" s="122"/>
      <c r="B16" s="117"/>
      <c r="C16" s="117"/>
      <c r="D16" s="117"/>
      <c r="E16" s="117"/>
      <c r="F16" s="117"/>
      <c r="G16" s="23" t="s">
        <v>38</v>
      </c>
      <c r="H16" s="118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51">
      <c r="A17" s="116" t="s">
        <v>39</v>
      </c>
      <c r="B17" s="96" t="s">
        <v>3</v>
      </c>
      <c r="C17" s="97"/>
      <c r="D17" s="97"/>
      <c r="E17" s="97"/>
      <c r="F17" s="98"/>
      <c r="G17" s="23" t="s">
        <v>34</v>
      </c>
      <c r="H17" s="123" t="s">
        <v>35</v>
      </c>
      <c r="I17" s="19"/>
      <c r="J17" s="19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12.75">
      <c r="A18" s="116">
        <v>1.2</v>
      </c>
      <c r="B18" s="99" t="s">
        <v>40</v>
      </c>
      <c r="C18" s="97"/>
      <c r="D18" s="97"/>
      <c r="E18" s="97"/>
      <c r="F18" s="98"/>
      <c r="G18" s="25">
        <f>_xlfn.IFS($A$2="Мужской",$F$9*A18,$A$2="Женский",$F$13*A18)</f>
        <v>2181</v>
      </c>
      <c r="H18" s="124">
        <f>_xlfn.IFS($A$2="Мужской",$F$10*A18,$A$2="Женский",$F$14*A18)</f>
        <v>666</v>
      </c>
      <c r="I18" s="32"/>
      <c r="J18" s="32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12.75">
      <c r="A19" s="116">
        <v>1.375</v>
      </c>
      <c r="B19" s="99" t="s">
        <v>41</v>
      </c>
      <c r="C19" s="97"/>
      <c r="D19" s="97"/>
      <c r="E19" s="97"/>
      <c r="F19" s="98"/>
      <c r="G19" s="25">
        <f t="shared" ref="G19:G22" si="5">_xlfn.IFS($A$2="Мужской",$F$9*A19,$A$2="Женский",$F$13*A19)</f>
        <v>2499.0625</v>
      </c>
      <c r="H19" s="124">
        <f t="shared" ref="H19:H22" si="6">_xlfn.IFS($A$2="Мужской",$F$10*A19,$A$2="Женский",$F$14*A19)</f>
        <v>763.125</v>
      </c>
      <c r="I19" s="32"/>
      <c r="J19" s="32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2.75">
      <c r="A20" s="116">
        <v>1.55</v>
      </c>
      <c r="B20" s="99" t="s">
        <v>19</v>
      </c>
      <c r="C20" s="97"/>
      <c r="D20" s="97"/>
      <c r="E20" s="97"/>
      <c r="F20" s="98"/>
      <c r="G20" s="25">
        <f t="shared" si="5"/>
        <v>2817.125</v>
      </c>
      <c r="H20" s="124">
        <f t="shared" si="6"/>
        <v>860.25</v>
      </c>
      <c r="I20" s="32"/>
      <c r="J20" s="32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2.75">
      <c r="A21" s="116">
        <v>1.7250000000000001</v>
      </c>
      <c r="B21" s="99" t="s">
        <v>23</v>
      </c>
      <c r="C21" s="97"/>
      <c r="D21" s="97"/>
      <c r="E21" s="97"/>
      <c r="F21" s="98"/>
      <c r="G21" s="25">
        <f t="shared" si="5"/>
        <v>3135.1875</v>
      </c>
      <c r="H21" s="124">
        <f t="shared" si="6"/>
        <v>957.375</v>
      </c>
      <c r="I21" s="32"/>
      <c r="J21" s="32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3.5" thickBot="1">
      <c r="A22" s="125">
        <v>1.9</v>
      </c>
      <c r="B22" s="126" t="s">
        <v>42</v>
      </c>
      <c r="C22" s="127"/>
      <c r="D22" s="127"/>
      <c r="E22" s="127"/>
      <c r="F22" s="128"/>
      <c r="G22" s="129">
        <f t="shared" si="5"/>
        <v>3453.25</v>
      </c>
      <c r="H22" s="130">
        <f t="shared" si="6"/>
        <v>1054.5</v>
      </c>
      <c r="I22" s="32"/>
      <c r="J22" s="32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3.5" thickBot="1">
      <c r="A23" s="4"/>
      <c r="B23" s="33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2.75">
      <c r="A24" s="111" t="s">
        <v>8</v>
      </c>
      <c r="B24" s="112"/>
      <c r="C24" s="112"/>
      <c r="D24" s="112"/>
      <c r="E24" s="113"/>
      <c r="F24" s="131" t="s">
        <v>28</v>
      </c>
      <c r="G24" s="114"/>
      <c r="H24" s="115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51">
      <c r="A25" s="116" t="s">
        <v>43</v>
      </c>
      <c r="B25" s="23" t="s">
        <v>44</v>
      </c>
      <c r="C25" s="23" t="s">
        <v>45</v>
      </c>
      <c r="D25" s="23" t="s">
        <v>46</v>
      </c>
      <c r="E25" s="22" t="s">
        <v>47</v>
      </c>
      <c r="F25" s="23"/>
      <c r="G25" s="117"/>
      <c r="H25" s="118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38.25">
      <c r="A26" s="116" t="s">
        <v>34</v>
      </c>
      <c r="B26" s="25">
        <f t="shared" ref="B26:B27" si="7">13.397*D2</f>
        <v>1272.7149999999999</v>
      </c>
      <c r="C26" s="25">
        <f t="shared" ref="C26:C27" si="8">4.799*C2</f>
        <v>854.22200000000009</v>
      </c>
      <c r="D26" s="25">
        <f t="shared" ref="D26:D27" si="9">5.677*B2</f>
        <v>283.84999999999997</v>
      </c>
      <c r="E26" s="25">
        <v>88.361999999999995</v>
      </c>
      <c r="F26" s="25">
        <f t="shared" ref="F26:F27" si="10">B26+C26-D26+E26</f>
        <v>1931.4490000000001</v>
      </c>
      <c r="G26" s="117"/>
      <c r="H26" s="118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38.25">
      <c r="A27" s="119" t="s">
        <v>35</v>
      </c>
      <c r="B27" s="25">
        <f t="shared" si="7"/>
        <v>1071.76</v>
      </c>
      <c r="C27" s="25">
        <f t="shared" si="8"/>
        <v>0</v>
      </c>
      <c r="D27" s="25">
        <f t="shared" si="9"/>
        <v>283.84999999999997</v>
      </c>
      <c r="E27" s="25">
        <v>88.361999999999995</v>
      </c>
      <c r="F27" s="25">
        <f t="shared" si="10"/>
        <v>876.27200000000005</v>
      </c>
      <c r="G27" s="117"/>
      <c r="H27" s="118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2.75">
      <c r="A28" s="120"/>
      <c r="B28" s="28"/>
      <c r="C28" s="28"/>
      <c r="D28" s="28"/>
      <c r="E28" s="28"/>
      <c r="F28" s="23"/>
      <c r="G28" s="117"/>
      <c r="H28" s="118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38.25">
      <c r="A29" s="121" t="s">
        <v>48</v>
      </c>
      <c r="B29" s="29" t="s">
        <v>49</v>
      </c>
      <c r="C29" s="29" t="s">
        <v>50</v>
      </c>
      <c r="D29" s="29" t="s">
        <v>51</v>
      </c>
      <c r="E29" s="30" t="s">
        <v>52</v>
      </c>
      <c r="F29" s="23"/>
      <c r="G29" s="117"/>
      <c r="H29" s="118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38.25">
      <c r="A30" s="116" t="s">
        <v>34</v>
      </c>
      <c r="B30" s="25">
        <f t="shared" ref="B30:B31" si="11">9.247*D2</f>
        <v>878.46500000000003</v>
      </c>
      <c r="C30" s="25">
        <f t="shared" ref="C30:C31" si="12">3.098*C2</f>
        <v>551.44399999999996</v>
      </c>
      <c r="D30" s="25">
        <f t="shared" ref="D30:D31" si="13">4.33*B2</f>
        <v>216.5</v>
      </c>
      <c r="E30" s="25">
        <v>447.59300000000002</v>
      </c>
      <c r="F30" s="25">
        <f t="shared" ref="F30:F31" si="14">B30+C30-D30+E30</f>
        <v>1661.0020000000002</v>
      </c>
      <c r="G30" s="117"/>
      <c r="H30" s="118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38.25">
      <c r="A31" s="116" t="s">
        <v>35</v>
      </c>
      <c r="B31" s="25">
        <f t="shared" si="11"/>
        <v>739.76</v>
      </c>
      <c r="C31" s="25">
        <f t="shared" si="12"/>
        <v>0</v>
      </c>
      <c r="D31" s="25">
        <f t="shared" si="13"/>
        <v>216.5</v>
      </c>
      <c r="E31" s="25">
        <v>447.59300000000002</v>
      </c>
      <c r="F31" s="25">
        <f t="shared" si="14"/>
        <v>970.85300000000007</v>
      </c>
      <c r="G31" s="117"/>
      <c r="H31" s="118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2.75">
      <c r="A32" s="122"/>
      <c r="B32" s="117"/>
      <c r="C32" s="117"/>
      <c r="D32" s="117"/>
      <c r="E32" s="117"/>
      <c r="F32" s="117"/>
      <c r="G32" s="117"/>
      <c r="H32" s="118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89.25">
      <c r="A33" s="122"/>
      <c r="B33" s="117"/>
      <c r="C33" s="117"/>
      <c r="D33" s="117"/>
      <c r="E33" s="117"/>
      <c r="F33" s="117"/>
      <c r="G33" s="23" t="s">
        <v>38</v>
      </c>
      <c r="H33" s="118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51">
      <c r="A34" s="116" t="s">
        <v>39</v>
      </c>
      <c r="B34" s="96" t="s">
        <v>3</v>
      </c>
      <c r="C34" s="97"/>
      <c r="D34" s="97"/>
      <c r="E34" s="97"/>
      <c r="F34" s="98"/>
      <c r="G34" s="23" t="s">
        <v>34</v>
      </c>
      <c r="H34" s="123" t="s">
        <v>35</v>
      </c>
      <c r="I34" s="19"/>
      <c r="J34" s="19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2.75">
      <c r="A35" s="116">
        <v>1.2</v>
      </c>
      <c r="B35" s="132" t="s">
        <v>12</v>
      </c>
      <c r="C35" s="133"/>
      <c r="D35" s="133"/>
      <c r="E35" s="133"/>
      <c r="F35" s="133"/>
      <c r="G35" s="25">
        <f>_xlfn.IFS($A$2="Мужской", $F$26*A35, $A$2="Женский", $F$30*A35)</f>
        <v>2317.7388000000001</v>
      </c>
      <c r="H35" s="124">
        <f>_xlfn.IFS($A$2="Мужской", $F$27*A35, $A$2="Женский", $F$31*A35)</f>
        <v>1051.5264</v>
      </c>
      <c r="I35" s="32"/>
      <c r="J35" s="32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2.75">
      <c r="A36" s="116">
        <v>1.375</v>
      </c>
      <c r="B36" s="99" t="s">
        <v>18</v>
      </c>
      <c r="C36" s="97"/>
      <c r="D36" s="97"/>
      <c r="E36" s="97"/>
      <c r="F36" s="98"/>
      <c r="G36" s="25">
        <f t="shared" ref="G36:G39" si="15">_xlfn.IFS($A$2="Мужской", $F$26*A36, $A$2="Женский", $F$30*A36)</f>
        <v>2655.7423750000003</v>
      </c>
      <c r="H36" s="124">
        <f t="shared" ref="H36:H39" si="16">_xlfn.IFS($A$2="Мужской", $F$27*A36, $A$2="Женский", $F$31*A36)</f>
        <v>1204.874</v>
      </c>
      <c r="I36" s="32"/>
      <c r="J36" s="32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2.75">
      <c r="A37" s="116">
        <v>1.55</v>
      </c>
      <c r="B37" s="99" t="s">
        <v>20</v>
      </c>
      <c r="C37" s="97"/>
      <c r="D37" s="97"/>
      <c r="E37" s="97"/>
      <c r="F37" s="98"/>
      <c r="G37" s="25">
        <f t="shared" si="15"/>
        <v>2993.74595</v>
      </c>
      <c r="H37" s="124">
        <f t="shared" si="16"/>
        <v>1358.2216000000001</v>
      </c>
      <c r="I37" s="32"/>
      <c r="J37" s="32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2.75">
      <c r="A38" s="116">
        <v>1.7250000000000001</v>
      </c>
      <c r="B38" s="99" t="s">
        <v>24</v>
      </c>
      <c r="C38" s="97"/>
      <c r="D38" s="97"/>
      <c r="E38" s="97"/>
      <c r="F38" s="98"/>
      <c r="G38" s="25">
        <f t="shared" si="15"/>
        <v>3331.7495250000002</v>
      </c>
      <c r="H38" s="124">
        <f t="shared" si="16"/>
        <v>1511.5692000000001</v>
      </c>
      <c r="I38" s="32"/>
      <c r="J38" s="32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3.5" thickBot="1">
      <c r="A39" s="125">
        <v>1.9</v>
      </c>
      <c r="B39" s="126" t="s">
        <v>27</v>
      </c>
      <c r="C39" s="127"/>
      <c r="D39" s="127"/>
      <c r="E39" s="127"/>
      <c r="F39" s="128"/>
      <c r="G39" s="129">
        <f t="shared" si="15"/>
        <v>3669.7530999999999</v>
      </c>
      <c r="H39" s="130">
        <f t="shared" si="16"/>
        <v>1664.9168</v>
      </c>
      <c r="I39" s="32"/>
      <c r="J39" s="32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2.7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23.25">
      <c r="A41" s="34" t="s">
        <v>53</v>
      </c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2.7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02">
      <c r="A43" s="1" t="s">
        <v>54</v>
      </c>
      <c r="B43" s="2" t="s">
        <v>55</v>
      </c>
      <c r="C43" s="2" t="s">
        <v>56</v>
      </c>
      <c r="D43" s="35" t="s">
        <v>57</v>
      </c>
      <c r="E43" s="35" t="s">
        <v>58</v>
      </c>
      <c r="F43" s="6" t="s">
        <v>59</v>
      </c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2.75">
      <c r="A44" s="36">
        <f>_xlfn.IFS($E$2=$M$2,G18,$E$2=$M$3,G19, $E$2=$M$4,G20,$E$2=$M$5,G21,$E$2=$M$6,G22)</f>
        <v>2817.125</v>
      </c>
      <c r="B44" s="36">
        <f>_xlfn.IFS($E$2=$M$2,G35,$E$2=$M$3,G36, $E$2=$M$4,G37,$E$2=$M$5,G38,$E$2=$M$6,G39)</f>
        <v>2993.74595</v>
      </c>
      <c r="C44" s="37">
        <f>(A44+B44)/2</f>
        <v>2905.4354750000002</v>
      </c>
      <c r="D44" s="38">
        <v>400</v>
      </c>
      <c r="E44" s="39">
        <f>C44-D44</f>
        <v>2505.4354750000002</v>
      </c>
      <c r="F44" s="40">
        <f>D44/8*30*(-1)</f>
        <v>-1500</v>
      </c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2.75">
      <c r="A45" s="101" t="s">
        <v>60</v>
      </c>
      <c r="B45" s="100"/>
      <c r="C45" s="100"/>
      <c r="D45" s="100"/>
      <c r="E45" s="100"/>
      <c r="F45" s="102"/>
      <c r="G45" s="4"/>
      <c r="H45" s="4"/>
      <c r="I45" s="4"/>
      <c r="J45" s="96" t="s">
        <v>61</v>
      </c>
      <c r="K45" s="97"/>
      <c r="L45" s="98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63.75">
      <c r="A46" s="29" t="s">
        <v>62</v>
      </c>
      <c r="B46" s="29" t="s">
        <v>63</v>
      </c>
      <c r="C46" s="41" t="s">
        <v>64</v>
      </c>
      <c r="D46" s="12" t="s">
        <v>65</v>
      </c>
      <c r="E46" s="12" t="s">
        <v>66</v>
      </c>
      <c r="F46" s="12" t="s">
        <v>67</v>
      </c>
      <c r="G46" s="42" t="s">
        <v>68</v>
      </c>
      <c r="H46" s="4"/>
      <c r="I46" s="4"/>
      <c r="J46" s="43" t="s">
        <v>69</v>
      </c>
      <c r="K46" s="12" t="s">
        <v>70</v>
      </c>
      <c r="L46" s="12" t="s">
        <v>71</v>
      </c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63.75">
      <c r="A47" s="12" t="s">
        <v>72</v>
      </c>
      <c r="B47" s="44">
        <v>1.8</v>
      </c>
      <c r="C47" s="45">
        <f t="shared" ref="C47:C48" si="17">B47*$D$3</f>
        <v>144</v>
      </c>
      <c r="D47" s="46">
        <f>C47*4</f>
        <v>576</v>
      </c>
      <c r="E47" s="46">
        <f t="shared" ref="E47:E49" si="18">D47/$E$44*100</f>
        <v>22.990015338551075</v>
      </c>
      <c r="F47" s="47">
        <v>4</v>
      </c>
      <c r="G47" s="4"/>
      <c r="H47" s="4"/>
      <c r="I47" s="12" t="s">
        <v>72</v>
      </c>
      <c r="J47" s="43" t="s">
        <v>73</v>
      </c>
      <c r="K47" s="12" t="s">
        <v>74</v>
      </c>
      <c r="L47" s="12" t="s">
        <v>75</v>
      </c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2.75">
      <c r="A48" s="12" t="s">
        <v>76</v>
      </c>
      <c r="B48" s="44">
        <v>20</v>
      </c>
      <c r="C48" s="45">
        <f t="shared" si="17"/>
        <v>1600</v>
      </c>
      <c r="D48" s="46">
        <f>C48*9</f>
        <v>14400</v>
      </c>
      <c r="E48" s="46">
        <f t="shared" si="18"/>
        <v>574.75038346377687</v>
      </c>
      <c r="F48" s="47">
        <v>3</v>
      </c>
      <c r="G48" s="4"/>
      <c r="H48" s="4"/>
      <c r="I48" s="12" t="s">
        <v>76</v>
      </c>
      <c r="J48" s="43" t="s">
        <v>77</v>
      </c>
      <c r="K48" s="12" t="s">
        <v>78</v>
      </c>
      <c r="L48" s="12" t="s">
        <v>78</v>
      </c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2.75">
      <c r="A49" s="12" t="s">
        <v>79</v>
      </c>
      <c r="B49" s="48">
        <f>C49/$D$3</f>
        <v>-38.970514140624999</v>
      </c>
      <c r="C49" s="45">
        <f>(E44-C47*4-C48*9)/4</f>
        <v>-3117.6411312499999</v>
      </c>
      <c r="D49" s="46">
        <f>C49*4</f>
        <v>-12470.564525</v>
      </c>
      <c r="E49" s="46">
        <f t="shared" si="18"/>
        <v>-497.74039880232789</v>
      </c>
      <c r="F49" s="47">
        <v>5</v>
      </c>
      <c r="G49" s="4"/>
      <c r="H49" s="4"/>
      <c r="I49" s="12" t="s">
        <v>79</v>
      </c>
      <c r="J49" s="49" t="s">
        <v>80</v>
      </c>
      <c r="K49" s="12" t="s">
        <v>81</v>
      </c>
      <c r="L49" s="12" t="s">
        <v>82</v>
      </c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25.5">
      <c r="A50" s="42" t="s">
        <v>83</v>
      </c>
      <c r="B50" s="103" t="s">
        <v>84</v>
      </c>
      <c r="C50" s="98"/>
      <c r="D50" s="50">
        <f t="shared" ref="D50:E50" si="19">D47+D48+D49</f>
        <v>2505.4354750000002</v>
      </c>
      <c r="E50" s="50">
        <f t="shared" si="19"/>
        <v>100.00000000000006</v>
      </c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2.75">
      <c r="A51" s="4"/>
      <c r="B51" s="4"/>
      <c r="C51" s="4"/>
      <c r="D51" s="104" t="s">
        <v>85</v>
      </c>
      <c r="E51" s="98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2.7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23.25">
      <c r="A53" s="34" t="s">
        <v>86</v>
      </c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25.5">
      <c r="A54" s="51"/>
      <c r="B54" s="52" t="s">
        <v>87</v>
      </c>
      <c r="C54" s="52" t="s">
        <v>88</v>
      </c>
      <c r="D54" s="52" t="s">
        <v>89</v>
      </c>
      <c r="E54" s="52" t="s">
        <v>90</v>
      </c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2.75">
      <c r="A55" s="53" t="s">
        <v>91</v>
      </c>
      <c r="B55" s="54">
        <f>C47</f>
        <v>144</v>
      </c>
      <c r="C55" s="54">
        <f>C48</f>
        <v>1600</v>
      </c>
      <c r="D55" s="54">
        <f>C49</f>
        <v>-3117.6411312499999</v>
      </c>
      <c r="E55" s="54">
        <f>E44</f>
        <v>2505.4354750000002</v>
      </c>
      <c r="F55" s="105" t="s">
        <v>92</v>
      </c>
      <c r="G55" s="94"/>
      <c r="H55" s="55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38.25">
      <c r="A56" s="53" t="s">
        <v>93</v>
      </c>
      <c r="B56" s="56">
        <v>150</v>
      </c>
      <c r="C56" s="56">
        <v>80</v>
      </c>
      <c r="D56" s="56">
        <v>200</v>
      </c>
      <c r="E56" s="56">
        <v>2000</v>
      </c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25.5">
      <c r="A57" s="57" t="s">
        <v>94</v>
      </c>
      <c r="B57" s="58">
        <f t="shared" ref="B57:E57" si="20">B56/B55</f>
        <v>1.0416666666666667</v>
      </c>
      <c r="C57" s="58">
        <f t="shared" si="20"/>
        <v>0.05</v>
      </c>
      <c r="D57" s="58">
        <f t="shared" si="20"/>
        <v>-6.4151065366465435E-2</v>
      </c>
      <c r="E57" s="58">
        <f t="shared" si="20"/>
        <v>0.79826442147746779</v>
      </c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27.5">
      <c r="A58" s="59" t="s">
        <v>95</v>
      </c>
      <c r="B58" s="60">
        <f t="shared" ref="B58:E58" si="21">(B56-B55)/B55</f>
        <v>4.1666666666666664E-2</v>
      </c>
      <c r="C58" s="60">
        <f t="shared" si="21"/>
        <v>-0.95</v>
      </c>
      <c r="D58" s="60">
        <f t="shared" si="21"/>
        <v>-1.0641510653664654</v>
      </c>
      <c r="E58" s="60">
        <f t="shared" si="21"/>
        <v>-0.20173557852253216</v>
      </c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2.75" collapsed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89.25" hidden="1" outlineLevel="1">
      <c r="A60" s="12" t="s">
        <v>96</v>
      </c>
      <c r="B60" s="12" t="s">
        <v>97</v>
      </c>
      <c r="C60" s="12" t="s">
        <v>98</v>
      </c>
      <c r="D60" s="12" t="s">
        <v>99</v>
      </c>
      <c r="E60" s="12" t="s">
        <v>100</v>
      </c>
      <c r="F60" s="105" t="s">
        <v>101</v>
      </c>
      <c r="G60" s="94"/>
      <c r="H60" s="94"/>
      <c r="I60" s="94"/>
      <c r="J60" s="94"/>
      <c r="K60" s="9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2.75" hidden="1" outlineLevel="1">
      <c r="A61" s="61">
        <v>1</v>
      </c>
      <c r="B61" s="24">
        <f t="shared" ref="B61:B63" si="22">($B$56-$B$55)*A61*4/9</f>
        <v>2.6666666666666665</v>
      </c>
      <c r="C61" s="24">
        <f t="shared" ref="C61:C63" si="23">($C$56-$C$55)*A61*9/9</f>
        <v>-1520</v>
      </c>
      <c r="D61" s="24">
        <f t="shared" ref="D61:D63" si="24">($D$56-$D$55)*A61*4/9</f>
        <v>1474.5071694444443</v>
      </c>
      <c r="E61" s="24">
        <f t="shared" ref="E61:E63" si="25">($E$56-$C$44)*A61/8</f>
        <v>-113.17943437500003</v>
      </c>
      <c r="F61" s="94"/>
      <c r="G61" s="94"/>
      <c r="H61" s="94"/>
      <c r="I61" s="94"/>
      <c r="J61" s="94"/>
      <c r="K61" s="9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2.75" hidden="1" outlineLevel="1">
      <c r="A62" s="61">
        <v>7</v>
      </c>
      <c r="B62" s="24">
        <f t="shared" si="22"/>
        <v>18.666666666666668</v>
      </c>
      <c r="C62" s="24">
        <f t="shared" si="23"/>
        <v>-10640</v>
      </c>
      <c r="D62" s="24">
        <f t="shared" si="24"/>
        <v>10321.550186111112</v>
      </c>
      <c r="E62" s="24">
        <f t="shared" si="25"/>
        <v>-792.2560406250002</v>
      </c>
      <c r="F62" s="94"/>
      <c r="G62" s="94"/>
      <c r="H62" s="94"/>
      <c r="I62" s="94"/>
      <c r="J62" s="94"/>
      <c r="K62" s="9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2.75" hidden="1" outlineLevel="1">
      <c r="A63" s="62">
        <v>30</v>
      </c>
      <c r="B63" s="26">
        <f t="shared" si="22"/>
        <v>80</v>
      </c>
      <c r="C63" s="26">
        <f t="shared" si="23"/>
        <v>-45600</v>
      </c>
      <c r="D63" s="26">
        <f t="shared" si="24"/>
        <v>44235.215083333336</v>
      </c>
      <c r="E63" s="24">
        <f t="shared" si="25"/>
        <v>-3395.3830312500008</v>
      </c>
      <c r="F63" s="94"/>
      <c r="G63" s="94"/>
      <c r="H63" s="94"/>
      <c r="I63" s="94"/>
      <c r="J63" s="94"/>
      <c r="K63" s="9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2.75" hidden="1" outlineLevel="1">
      <c r="A64" s="63"/>
      <c r="B64" s="64"/>
      <c r="C64" s="64"/>
      <c r="D64" s="64"/>
      <c r="E64" s="64"/>
      <c r="F64" s="94"/>
      <c r="G64" s="94"/>
      <c r="H64" s="94"/>
      <c r="I64" s="94"/>
      <c r="J64" s="94"/>
      <c r="K64" s="9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2.75">
      <c r="A65" s="106" t="s">
        <v>102</v>
      </c>
      <c r="B65" s="94"/>
      <c r="C65" s="94"/>
      <c r="D65" s="94"/>
      <c r="E65" s="9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2.75">
      <c r="A66" s="106" t="s">
        <v>103</v>
      </c>
      <c r="B66" s="94"/>
      <c r="C66" s="94"/>
      <c r="D66" s="94"/>
      <c r="E66" s="9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2.7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23.25">
      <c r="A68" s="65" t="s">
        <v>104</v>
      </c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2.7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51">
      <c r="A70" s="19" t="s">
        <v>105</v>
      </c>
      <c r="B70" s="19" t="s">
        <v>106</v>
      </c>
      <c r="C70" s="19" t="s">
        <v>107</v>
      </c>
      <c r="D70" s="19" t="s">
        <v>108</v>
      </c>
      <c r="E70" s="19" t="s">
        <v>109</v>
      </c>
      <c r="F70" s="19" t="s">
        <v>110</v>
      </c>
      <c r="G70" s="19" t="s">
        <v>111</v>
      </c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2.75">
      <c r="A71" s="32">
        <f>E44</f>
        <v>2505.4354750000002</v>
      </c>
      <c r="B71" s="32">
        <f>C47</f>
        <v>144</v>
      </c>
      <c r="C71" s="32">
        <f>E47</f>
        <v>22.990015338551075</v>
      </c>
      <c r="D71" s="32">
        <f>C48</f>
        <v>1600</v>
      </c>
      <c r="E71" s="32">
        <f>E48</f>
        <v>574.75038346377687</v>
      </c>
      <c r="F71" s="32">
        <f>C49</f>
        <v>-3117.6411312499999</v>
      </c>
      <c r="G71" s="32">
        <f>E49</f>
        <v>-497.74039880232789</v>
      </c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2.75">
      <c r="A72" s="107" t="s">
        <v>112</v>
      </c>
      <c r="B72" s="94"/>
      <c r="C72" s="94"/>
      <c r="D72" s="94"/>
      <c r="E72" s="94"/>
      <c r="F72" s="94"/>
      <c r="G72" s="9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3.5">
      <c r="A73" s="93" t="s">
        <v>113</v>
      </c>
      <c r="B73" s="94"/>
      <c r="C73" s="9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2.7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02">
      <c r="A75" s="12" t="s">
        <v>114</v>
      </c>
      <c r="B75" s="12" t="s">
        <v>115</v>
      </c>
      <c r="C75" s="31" t="s">
        <v>116</v>
      </c>
      <c r="D75" s="12" t="s">
        <v>117</v>
      </c>
      <c r="E75" s="66" t="s">
        <v>118</v>
      </c>
      <c r="F75" s="67" t="s">
        <v>119</v>
      </c>
      <c r="G75" s="12" t="s">
        <v>120</v>
      </c>
      <c r="H75" s="12" t="s">
        <v>121</v>
      </c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2.75">
      <c r="A76" s="88" t="s">
        <v>122</v>
      </c>
      <c r="B76" s="91">
        <f>C76/$A$71</f>
        <v>2.99904093419129</v>
      </c>
      <c r="C76" s="108">
        <f>G76+G77+G78</f>
        <v>7513.9035474999991</v>
      </c>
      <c r="D76" s="68" t="s">
        <v>72</v>
      </c>
      <c r="E76" s="69">
        <v>0.21</v>
      </c>
      <c r="F76" s="70">
        <f>G76/C76</f>
        <v>1.6098157134349349E-2</v>
      </c>
      <c r="G76" s="71">
        <f>H76*4</f>
        <v>120.96</v>
      </c>
      <c r="H76" s="71">
        <f>E76*$B$71</f>
        <v>30.24</v>
      </c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2.75">
      <c r="A77" s="89"/>
      <c r="B77" s="89"/>
      <c r="C77" s="109"/>
      <c r="D77" s="72" t="s">
        <v>76</v>
      </c>
      <c r="E77" s="69">
        <v>0.6</v>
      </c>
      <c r="F77" s="73">
        <f>G77/C76</f>
        <v>1.1498683667392393</v>
      </c>
      <c r="G77" s="74">
        <f>H77*9</f>
        <v>8640</v>
      </c>
      <c r="H77" s="74">
        <f>$D$71*E77</f>
        <v>960</v>
      </c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2.75">
      <c r="A78" s="90"/>
      <c r="B78" s="90"/>
      <c r="C78" s="110"/>
      <c r="D78" s="75" t="s">
        <v>79</v>
      </c>
      <c r="E78" s="69">
        <v>0.1</v>
      </c>
      <c r="F78" s="76">
        <f>G78/C76</f>
        <v>-0.16596652387358851</v>
      </c>
      <c r="G78" s="77">
        <f t="shared" ref="G78:G79" si="26">H78*4</f>
        <v>-1247.0564525</v>
      </c>
      <c r="H78" s="77">
        <f>E78*$F$71</f>
        <v>-311.76411312499999</v>
      </c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2.75">
      <c r="A79" s="88" t="s">
        <v>123</v>
      </c>
      <c r="B79" s="91">
        <f>C79/$A$71</f>
        <v>-2.6875721934128034</v>
      </c>
      <c r="C79" s="108">
        <f>G79+G80+G81</f>
        <v>-6733.5387149999997</v>
      </c>
      <c r="D79" s="68" t="s">
        <v>72</v>
      </c>
      <c r="E79" s="69">
        <v>0.3</v>
      </c>
      <c r="F79" s="70">
        <f>G79/C79</f>
        <v>-2.5662583570665636E-2</v>
      </c>
      <c r="G79" s="71">
        <f t="shared" si="26"/>
        <v>172.79999999999998</v>
      </c>
      <c r="H79" s="71">
        <f>E79*$B$71</f>
        <v>43.199999999999996</v>
      </c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2.75">
      <c r="A80" s="89"/>
      <c r="B80" s="89"/>
      <c r="C80" s="109"/>
      <c r="D80" s="72" t="s">
        <v>76</v>
      </c>
      <c r="E80" s="69">
        <v>0.04</v>
      </c>
      <c r="F80" s="73">
        <f>G80/C79</f>
        <v>-8.5541945235552128E-2</v>
      </c>
      <c r="G80" s="74">
        <f>H80*9</f>
        <v>576</v>
      </c>
      <c r="H80" s="74">
        <f>$D$71*E80</f>
        <v>64</v>
      </c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2.75">
      <c r="A81" s="90"/>
      <c r="B81" s="90"/>
      <c r="C81" s="110"/>
      <c r="D81" s="75" t="s">
        <v>79</v>
      </c>
      <c r="E81" s="69">
        <v>0.6</v>
      </c>
      <c r="F81" s="76">
        <f>G81/C79</f>
        <v>1.1112045288062178</v>
      </c>
      <c r="G81" s="77">
        <f t="shared" ref="G81:G82" si="27">H81*4</f>
        <v>-7482.3387149999999</v>
      </c>
      <c r="H81" s="77">
        <f>E81*$F$71</f>
        <v>-1870.58467875</v>
      </c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2.75">
      <c r="A82" s="88" t="s">
        <v>124</v>
      </c>
      <c r="B82" s="91">
        <f>C82/$A$71</f>
        <v>0.6885312592215127</v>
      </c>
      <c r="C82" s="108">
        <f>G82+G83+G84</f>
        <v>1725.0706424999989</v>
      </c>
      <c r="D82" s="68" t="s">
        <v>72</v>
      </c>
      <c r="E82" s="78">
        <f t="shared" ref="E82:E84" si="28">1-E76-E79</f>
        <v>0.49000000000000005</v>
      </c>
      <c r="F82" s="70">
        <f>G82/C82</f>
        <v>0.16361069109087234</v>
      </c>
      <c r="G82" s="71">
        <f t="shared" si="27"/>
        <v>282.24</v>
      </c>
      <c r="H82" s="71">
        <f>B71-H76-H79</f>
        <v>70.56</v>
      </c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2.75">
      <c r="A83" s="89"/>
      <c r="B83" s="89"/>
      <c r="C83" s="109"/>
      <c r="D83" s="72" t="s">
        <v>76</v>
      </c>
      <c r="E83" s="79">
        <f t="shared" si="28"/>
        <v>0.36000000000000004</v>
      </c>
      <c r="F83" s="73">
        <f>G83/C82</f>
        <v>3.0050943261588796</v>
      </c>
      <c r="G83" s="74">
        <f>H83*9</f>
        <v>5184</v>
      </c>
      <c r="H83" s="74">
        <f>D71-H77-H80</f>
        <v>576</v>
      </c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2.75">
      <c r="A84" s="90"/>
      <c r="B84" s="90"/>
      <c r="C84" s="110"/>
      <c r="D84" s="75" t="s">
        <v>79</v>
      </c>
      <c r="E84" s="80">
        <f t="shared" si="28"/>
        <v>0.30000000000000004</v>
      </c>
      <c r="F84" s="76">
        <f>G84/C82</f>
        <v>-2.168705017249752</v>
      </c>
      <c r="G84" s="77">
        <f>H84*4</f>
        <v>-3741.1693575000008</v>
      </c>
      <c r="H84" s="77">
        <f>F71-H78-H81</f>
        <v>-935.29233937500021</v>
      </c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2.75">
      <c r="A85" s="4"/>
      <c r="B85" s="81"/>
      <c r="C85" s="4"/>
      <c r="D85" s="4"/>
      <c r="E85" s="81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25.5" outlineLevel="1">
      <c r="A86" s="19" t="s">
        <v>125</v>
      </c>
      <c r="B86" s="81">
        <f>B76+B79+B82</f>
        <v>0.99999999999999933</v>
      </c>
      <c r="C86" s="82">
        <f>C76+C79+C82-A71</f>
        <v>0</v>
      </c>
      <c r="D86" s="4"/>
      <c r="E86" s="81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02" outlineLevel="1">
      <c r="A87" s="4"/>
      <c r="B87" s="19" t="s">
        <v>126</v>
      </c>
      <c r="C87" s="19" t="s">
        <v>127</v>
      </c>
      <c r="D87" s="4"/>
      <c r="E87" s="19" t="s">
        <v>128</v>
      </c>
      <c r="F87" s="4"/>
      <c r="H87" s="19" t="s">
        <v>129</v>
      </c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2.75" outlineLevel="1">
      <c r="A88" s="4"/>
      <c r="B88" s="4"/>
      <c r="C88" s="4"/>
      <c r="D88" s="19" t="s">
        <v>72</v>
      </c>
      <c r="E88" s="81">
        <f t="shared" ref="E88:E90" si="29">E76+E79+E82</f>
        <v>1</v>
      </c>
      <c r="F88" s="4"/>
      <c r="G88" s="19" t="s">
        <v>72</v>
      </c>
      <c r="H88" s="82">
        <f>H76+H79+H82-B71</f>
        <v>0</v>
      </c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2.75" outlineLevel="1">
      <c r="A89" s="4"/>
      <c r="B89" s="4"/>
      <c r="C89" s="4"/>
      <c r="D89" s="19" t="s">
        <v>76</v>
      </c>
      <c r="E89" s="81">
        <f t="shared" si="29"/>
        <v>1</v>
      </c>
      <c r="F89" s="4"/>
      <c r="G89" s="19" t="s">
        <v>76</v>
      </c>
      <c r="H89" s="82">
        <f>H77+H80+H83-D71</f>
        <v>0</v>
      </c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2.75" outlineLevel="1">
      <c r="A90" s="4"/>
      <c r="B90" s="4"/>
      <c r="C90" s="4"/>
      <c r="D90" s="19" t="s">
        <v>79</v>
      </c>
      <c r="E90" s="81">
        <f t="shared" si="29"/>
        <v>1</v>
      </c>
      <c r="F90" s="4"/>
      <c r="G90" s="19" t="s">
        <v>79</v>
      </c>
      <c r="H90" s="82">
        <f>H78+H81+H84-F71</f>
        <v>0</v>
      </c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2.7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2.7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3.5">
      <c r="A93" s="93" t="s">
        <v>130</v>
      </c>
      <c r="B93" s="94"/>
      <c r="C93" s="9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2.7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02">
      <c r="A95" s="12" t="s">
        <v>114</v>
      </c>
      <c r="B95" s="12" t="s">
        <v>115</v>
      </c>
      <c r="C95" s="12" t="s">
        <v>116</v>
      </c>
      <c r="D95" s="12" t="s">
        <v>117</v>
      </c>
      <c r="E95" s="66" t="s">
        <v>118</v>
      </c>
      <c r="F95" s="67" t="s">
        <v>119</v>
      </c>
      <c r="G95" s="12" t="s">
        <v>120</v>
      </c>
      <c r="H95" s="12" t="s">
        <v>121</v>
      </c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2.75">
      <c r="A96" s="88" t="s">
        <v>122</v>
      </c>
      <c r="B96" s="91">
        <f>C96/$A$71</f>
        <v>-1.8679715798707606</v>
      </c>
      <c r="C96" s="92">
        <f>G96+G97+G98</f>
        <v>-4680.0822625000001</v>
      </c>
      <c r="D96" s="68" t="s">
        <v>72</v>
      </c>
      <c r="E96" s="69">
        <v>0.2</v>
      </c>
      <c r="F96" s="70">
        <f>G96/C96</f>
        <v>-2.4614951947118685E-2</v>
      </c>
      <c r="G96" s="71">
        <f>H96*4</f>
        <v>115.2</v>
      </c>
      <c r="H96" s="71">
        <f>$B$71*E96</f>
        <v>28.8</v>
      </c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2.75">
      <c r="A97" s="89"/>
      <c r="B97" s="89"/>
      <c r="C97" s="89"/>
      <c r="D97" s="72" t="s">
        <v>76</v>
      </c>
      <c r="E97" s="69">
        <v>0.1</v>
      </c>
      <c r="F97" s="73">
        <f>G97/C96</f>
        <v>-0.30768689933898358</v>
      </c>
      <c r="G97" s="74">
        <f>H97*9</f>
        <v>1440</v>
      </c>
      <c r="H97" s="74">
        <f>$D$71*E97</f>
        <v>160</v>
      </c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2.75">
      <c r="A98" s="90"/>
      <c r="B98" s="90"/>
      <c r="C98" s="90"/>
      <c r="D98" s="75" t="s">
        <v>79</v>
      </c>
      <c r="E98" s="69">
        <v>0.5</v>
      </c>
      <c r="F98" s="76">
        <f>G98/C96</f>
        <v>1.3323018512861022</v>
      </c>
      <c r="G98" s="77">
        <f t="shared" ref="G98:G99" si="30">H98*4</f>
        <v>-6235.2822624999999</v>
      </c>
      <c r="H98" s="77">
        <f>$F$71*E98</f>
        <v>-1558.820565625</v>
      </c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2.75">
      <c r="A99" s="88" t="s">
        <v>123</v>
      </c>
      <c r="B99" s="91">
        <f>C99/$A$71</f>
        <v>0.3000000000000001</v>
      </c>
      <c r="C99" s="92">
        <f>G99+G100+G101</f>
        <v>751.63064250000025</v>
      </c>
      <c r="D99" s="68" t="s">
        <v>72</v>
      </c>
      <c r="E99" s="69">
        <v>0.3</v>
      </c>
      <c r="F99" s="70">
        <f>G99/C99</f>
        <v>0.22990015338551065</v>
      </c>
      <c r="G99" s="71">
        <f t="shared" si="30"/>
        <v>172.79999999999998</v>
      </c>
      <c r="H99" s="71">
        <f>$B$71*E99</f>
        <v>43.199999999999996</v>
      </c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2.75">
      <c r="A100" s="89"/>
      <c r="B100" s="89"/>
      <c r="C100" s="89"/>
      <c r="D100" s="72" t="s">
        <v>76</v>
      </c>
      <c r="E100" s="69">
        <v>0.3</v>
      </c>
      <c r="F100" s="73">
        <f>G100/C99</f>
        <v>5.7475038346377669</v>
      </c>
      <c r="G100" s="74">
        <f>H100*9</f>
        <v>4320</v>
      </c>
      <c r="H100" s="74">
        <f>$D$71*E100</f>
        <v>480</v>
      </c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2.75">
      <c r="A101" s="90"/>
      <c r="B101" s="90"/>
      <c r="C101" s="90"/>
      <c r="D101" s="75" t="s">
        <v>79</v>
      </c>
      <c r="E101" s="69">
        <v>0.3</v>
      </c>
      <c r="F101" s="76">
        <f>G101/C99</f>
        <v>-4.9774039880232781</v>
      </c>
      <c r="G101" s="77">
        <f t="shared" ref="G101:G102" si="31">H101*4</f>
        <v>-3741.1693574999999</v>
      </c>
      <c r="H101" s="77">
        <f>$F$71*E101</f>
        <v>-935.29233937499998</v>
      </c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2.75">
      <c r="A102" s="88" t="s">
        <v>131</v>
      </c>
      <c r="B102" s="91">
        <f>C102/$A$71</f>
        <v>-0.38647135125281962</v>
      </c>
      <c r="C102" s="92">
        <f>G102+G103+G104</f>
        <v>-968.27903350000008</v>
      </c>
      <c r="D102" s="68" t="s">
        <v>72</v>
      </c>
      <c r="E102" s="69">
        <v>0.1</v>
      </c>
      <c r="F102" s="70">
        <f>G102/C102</f>
        <v>-5.9486984647179185E-2</v>
      </c>
      <c r="G102" s="71">
        <f t="shared" si="31"/>
        <v>57.6</v>
      </c>
      <c r="H102" s="71">
        <f>$B$71*E102</f>
        <v>14.4</v>
      </c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2.75">
      <c r="A103" s="89"/>
      <c r="B103" s="89"/>
      <c r="C103" s="89"/>
      <c r="D103" s="72" t="s">
        <v>76</v>
      </c>
      <c r="E103" s="69">
        <v>0.05</v>
      </c>
      <c r="F103" s="73">
        <f>G103/C102</f>
        <v>-0.74358730808973972</v>
      </c>
      <c r="G103" s="74">
        <f>H103*9</f>
        <v>720</v>
      </c>
      <c r="H103" s="74">
        <f>$D$71*E103</f>
        <v>80</v>
      </c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2.75">
      <c r="A104" s="90"/>
      <c r="B104" s="90"/>
      <c r="C104" s="90"/>
      <c r="D104" s="75" t="s">
        <v>79</v>
      </c>
      <c r="E104" s="69">
        <v>0.14000000000000001</v>
      </c>
      <c r="F104" s="76">
        <f>G104/C102</f>
        <v>1.803074292736919</v>
      </c>
      <c r="G104" s="77">
        <f t="shared" ref="G104:G105" si="32">H104*4</f>
        <v>-1745.8790335000001</v>
      </c>
      <c r="H104" s="77">
        <f>$F$71*E104</f>
        <v>-436.46975837500003</v>
      </c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2.75">
      <c r="A105" s="88" t="s">
        <v>124</v>
      </c>
      <c r="B105" s="91">
        <f>C105/$A$71</f>
        <v>2.9544429311235807</v>
      </c>
      <c r="C105" s="92">
        <f>G105+G106+G107</f>
        <v>7402.1661285000009</v>
      </c>
      <c r="D105" s="83" t="s">
        <v>72</v>
      </c>
      <c r="E105" s="84">
        <f t="shared" ref="E105:E107" si="33">1-E96-E99-E102</f>
        <v>0.4</v>
      </c>
      <c r="F105" s="70">
        <f>G105/C105</f>
        <v>3.1126023923309192E-2</v>
      </c>
      <c r="G105" s="71">
        <f t="shared" si="32"/>
        <v>230.4</v>
      </c>
      <c r="H105" s="71">
        <f>$B$71*E105</f>
        <v>57.6</v>
      </c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2.75">
      <c r="A106" s="89"/>
      <c r="B106" s="89"/>
      <c r="C106" s="89"/>
      <c r="D106" s="85" t="s">
        <v>76</v>
      </c>
      <c r="E106" s="86">
        <f t="shared" si="33"/>
        <v>0.55000000000000004</v>
      </c>
      <c r="F106" s="73">
        <f>G106/C105</f>
        <v>1.0699570723637535</v>
      </c>
      <c r="G106" s="74">
        <f>H106*9</f>
        <v>7920.0000000000009</v>
      </c>
      <c r="H106" s="74">
        <f>$D$71*E106</f>
        <v>880.00000000000011</v>
      </c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2.75">
      <c r="A107" s="90"/>
      <c r="B107" s="90"/>
      <c r="C107" s="90"/>
      <c r="D107" s="87" t="s">
        <v>79</v>
      </c>
      <c r="E107" s="80">
        <f t="shared" si="33"/>
        <v>0.06</v>
      </c>
      <c r="F107" s="76">
        <f>G107/C105</f>
        <v>-0.10108309628706273</v>
      </c>
      <c r="G107" s="77">
        <f>H107*4</f>
        <v>-748.23387149999996</v>
      </c>
      <c r="H107" s="77">
        <f>$F$71*E107</f>
        <v>-187.05846787499999</v>
      </c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2.75" collapsed="1">
      <c r="A108" s="4"/>
      <c r="B108" s="81"/>
      <c r="C108" s="4"/>
      <c r="D108" s="4"/>
      <c r="E108" s="81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25.5" hidden="1" outlineLevel="1">
      <c r="A109" s="19" t="s">
        <v>125</v>
      </c>
      <c r="B109" s="81">
        <f>B96+B99+B102+B105</f>
        <v>1.0000000000000004</v>
      </c>
      <c r="C109" s="82">
        <f>C96+C99+C102+C105-$A$71</f>
        <v>0</v>
      </c>
      <c r="D109" s="4"/>
      <c r="E109" s="81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02" hidden="1" outlineLevel="1">
      <c r="A110" s="4"/>
      <c r="B110" s="19" t="s">
        <v>126</v>
      </c>
      <c r="C110" s="19" t="s">
        <v>127</v>
      </c>
      <c r="D110" s="4"/>
      <c r="E110" s="19" t="s">
        <v>128</v>
      </c>
      <c r="F110" s="4"/>
      <c r="H110" s="19" t="s">
        <v>129</v>
      </c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2.75" hidden="1" outlineLevel="1">
      <c r="A111" s="4"/>
      <c r="B111" s="4"/>
      <c r="C111" s="4"/>
      <c r="D111" s="19" t="s">
        <v>72</v>
      </c>
      <c r="E111" s="81">
        <f t="shared" ref="E111:E113" si="34">E96+E99+E102+E105</f>
        <v>1</v>
      </c>
      <c r="F111" s="4"/>
      <c r="G111" s="19" t="s">
        <v>72</v>
      </c>
      <c r="H111" s="82">
        <f>H96+H99+H102+H105-$B$71</f>
        <v>0</v>
      </c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2.75" hidden="1" outlineLevel="1">
      <c r="A112" s="4"/>
      <c r="B112" s="4"/>
      <c r="C112" s="4"/>
      <c r="D112" s="19" t="s">
        <v>76</v>
      </c>
      <c r="E112" s="81">
        <f t="shared" si="34"/>
        <v>1</v>
      </c>
      <c r="F112" s="4"/>
      <c r="G112" s="19" t="s">
        <v>76</v>
      </c>
      <c r="H112" s="82">
        <f>H97+H100+H103+H106-$D$71</f>
        <v>0</v>
      </c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2.75" hidden="1" outlineLevel="1">
      <c r="A113" s="4"/>
      <c r="B113" s="4"/>
      <c r="C113" s="4"/>
      <c r="D113" s="19" t="s">
        <v>79</v>
      </c>
      <c r="E113" s="81">
        <f t="shared" si="34"/>
        <v>1</v>
      </c>
      <c r="F113" s="4"/>
      <c r="G113" s="19" t="s">
        <v>79</v>
      </c>
      <c r="H113" s="82">
        <f>H98+H101+H104+H107-$F$71</f>
        <v>0</v>
      </c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2.7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3.5">
      <c r="A115" s="93" t="s">
        <v>132</v>
      </c>
      <c r="B115" s="94"/>
      <c r="C115" s="9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2.7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02">
      <c r="A117" s="12" t="s">
        <v>114</v>
      </c>
      <c r="B117" s="12" t="s">
        <v>115</v>
      </c>
      <c r="C117" s="12" t="s">
        <v>116</v>
      </c>
      <c r="D117" s="12" t="s">
        <v>117</v>
      </c>
      <c r="E117" s="66" t="s">
        <v>118</v>
      </c>
      <c r="F117" s="67" t="s">
        <v>119</v>
      </c>
      <c r="G117" s="12" t="s">
        <v>120</v>
      </c>
      <c r="H117" s="12" t="s">
        <v>121</v>
      </c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2.75">
      <c r="A118" s="88" t="s">
        <v>122</v>
      </c>
      <c r="B118" s="91">
        <f>C118/$A$71</f>
        <v>-1.8679715798707606</v>
      </c>
      <c r="C118" s="92">
        <f>G118+G119+G120</f>
        <v>-4680.0822625000001</v>
      </c>
      <c r="D118" s="68" t="s">
        <v>72</v>
      </c>
      <c r="E118" s="69">
        <v>0.2</v>
      </c>
      <c r="F118" s="70">
        <f>G118/C118</f>
        <v>-2.4614951947118685E-2</v>
      </c>
      <c r="G118" s="71">
        <f>H118*4</f>
        <v>115.2</v>
      </c>
      <c r="H118" s="71">
        <f>$B$71*E118</f>
        <v>28.8</v>
      </c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2.75">
      <c r="A119" s="89"/>
      <c r="B119" s="89"/>
      <c r="C119" s="89"/>
      <c r="D119" s="72" t="s">
        <v>76</v>
      </c>
      <c r="E119" s="69">
        <v>0.1</v>
      </c>
      <c r="F119" s="73">
        <f>G119/C118</f>
        <v>-0.30768689933898358</v>
      </c>
      <c r="G119" s="74">
        <f>H119*9</f>
        <v>1440</v>
      </c>
      <c r="H119" s="74">
        <f>$D$71*E119</f>
        <v>160</v>
      </c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2.75">
      <c r="A120" s="90"/>
      <c r="B120" s="90"/>
      <c r="C120" s="90"/>
      <c r="D120" s="75" t="s">
        <v>79</v>
      </c>
      <c r="E120" s="69">
        <v>0.5</v>
      </c>
      <c r="F120" s="76">
        <f>G120/C118</f>
        <v>1.3323018512861022</v>
      </c>
      <c r="G120" s="77">
        <f t="shared" ref="G120:G121" si="35">H120*4</f>
        <v>-6235.2822624999999</v>
      </c>
      <c r="H120" s="77">
        <f>$F$71*E120</f>
        <v>-1558.820565625</v>
      </c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2.75">
      <c r="A121" s="88" t="s">
        <v>131</v>
      </c>
      <c r="B121" s="91">
        <f>C121/$A$71</f>
        <v>-0.4977403988023279</v>
      </c>
      <c r="C121" s="92">
        <f>G121+G122+G123</f>
        <v>-1247.0564525</v>
      </c>
      <c r="D121" s="68" t="s">
        <v>72</v>
      </c>
      <c r="E121" s="69">
        <v>0</v>
      </c>
      <c r="F121" s="70">
        <f>G121/C121</f>
        <v>0</v>
      </c>
      <c r="G121" s="71">
        <f t="shared" si="35"/>
        <v>0</v>
      </c>
      <c r="H121" s="71">
        <f>$B$71*E121</f>
        <v>0</v>
      </c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2.75">
      <c r="A122" s="89"/>
      <c r="B122" s="89"/>
      <c r="C122" s="89"/>
      <c r="D122" s="72" t="s">
        <v>76</v>
      </c>
      <c r="E122" s="69">
        <v>0</v>
      </c>
      <c r="F122" s="73">
        <f>G122/C121</f>
        <v>0</v>
      </c>
      <c r="G122" s="74">
        <f>H122*9</f>
        <v>0</v>
      </c>
      <c r="H122" s="74">
        <f>$D$71*E122</f>
        <v>0</v>
      </c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2.75">
      <c r="A123" s="90"/>
      <c r="B123" s="90"/>
      <c r="C123" s="90"/>
      <c r="D123" s="75" t="s">
        <v>79</v>
      </c>
      <c r="E123" s="69">
        <v>0.1</v>
      </c>
      <c r="F123" s="76">
        <f>G123/C121</f>
        <v>1</v>
      </c>
      <c r="G123" s="77">
        <f t="shared" ref="G123:G124" si="36">H123*4</f>
        <v>-1247.0564525</v>
      </c>
      <c r="H123" s="77">
        <f>$F$71*E123</f>
        <v>-311.76411312499999</v>
      </c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2.75">
      <c r="A124" s="88" t="s">
        <v>123</v>
      </c>
      <c r="B124" s="91">
        <f>C124/$A$71</f>
        <v>0.3000000000000001</v>
      </c>
      <c r="C124" s="92">
        <f>G124+G125+G126</f>
        <v>751.63064250000025</v>
      </c>
      <c r="D124" s="68" t="s">
        <v>72</v>
      </c>
      <c r="E124" s="69">
        <v>0.3</v>
      </c>
      <c r="F124" s="70">
        <f>G124/C124</f>
        <v>0.22990015338551065</v>
      </c>
      <c r="G124" s="71">
        <f t="shared" si="36"/>
        <v>172.79999999999998</v>
      </c>
      <c r="H124" s="71">
        <f>$B$71*E124</f>
        <v>43.199999999999996</v>
      </c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2.75">
      <c r="A125" s="89"/>
      <c r="B125" s="89"/>
      <c r="C125" s="89"/>
      <c r="D125" s="72" t="s">
        <v>76</v>
      </c>
      <c r="E125" s="69">
        <v>0.3</v>
      </c>
      <c r="F125" s="73">
        <f>G125/C124</f>
        <v>5.7475038346377669</v>
      </c>
      <c r="G125" s="74">
        <f>H125*9</f>
        <v>4320</v>
      </c>
      <c r="H125" s="74">
        <f>$D$71*E125</f>
        <v>480</v>
      </c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2.75">
      <c r="A126" s="90"/>
      <c r="B126" s="90"/>
      <c r="C126" s="90"/>
      <c r="D126" s="75" t="s">
        <v>79</v>
      </c>
      <c r="E126" s="69">
        <v>0.3</v>
      </c>
      <c r="F126" s="76">
        <f>G126/C124</f>
        <v>-4.9774039880232781</v>
      </c>
      <c r="G126" s="77">
        <f t="shared" ref="G126:G127" si="37">H126*4</f>
        <v>-3741.1693574999999</v>
      </c>
      <c r="H126" s="77">
        <f>$F$71*E126</f>
        <v>-935.29233937499998</v>
      </c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2.75">
      <c r="A127" s="88" t="s">
        <v>131</v>
      </c>
      <c r="B127" s="91">
        <f>C127/$A$71</f>
        <v>-0.13760115185165558</v>
      </c>
      <c r="C127" s="92">
        <f>G127+G128+G129</f>
        <v>-344.75080724999987</v>
      </c>
      <c r="D127" s="68" t="s">
        <v>72</v>
      </c>
      <c r="E127" s="69">
        <v>0.1</v>
      </c>
      <c r="F127" s="70">
        <f>G127/C127</f>
        <v>-0.16707720123837366</v>
      </c>
      <c r="G127" s="71">
        <f t="shared" si="37"/>
        <v>57.6</v>
      </c>
      <c r="H127" s="71">
        <f>$B$71*E127</f>
        <v>14.4</v>
      </c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2.75">
      <c r="A128" s="89"/>
      <c r="B128" s="89"/>
      <c r="C128" s="89"/>
      <c r="D128" s="72" t="s">
        <v>76</v>
      </c>
      <c r="E128" s="69">
        <v>0.05</v>
      </c>
      <c r="F128" s="73">
        <f>G128/C127</f>
        <v>-2.0884650154796707</v>
      </c>
      <c r="G128" s="74">
        <f>H128*9</f>
        <v>720</v>
      </c>
      <c r="H128" s="74">
        <f>$D$71*E128</f>
        <v>80</v>
      </c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2.75">
      <c r="A129" s="90"/>
      <c r="B129" s="90"/>
      <c r="C129" s="90"/>
      <c r="D129" s="75" t="s">
        <v>79</v>
      </c>
      <c r="E129" s="69">
        <v>0.09</v>
      </c>
      <c r="F129" s="76">
        <f>G129/C127</f>
        <v>3.2555422167180446</v>
      </c>
      <c r="G129" s="77">
        <f t="shared" ref="G129:G130" si="38">H129*4</f>
        <v>-1122.3508072499999</v>
      </c>
      <c r="H129" s="77">
        <f>$F$71*E129</f>
        <v>-280.58770181249997</v>
      </c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2.75">
      <c r="A130" s="88" t="s">
        <v>124</v>
      </c>
      <c r="B130" s="91">
        <f>C130/$A$71</f>
        <v>3.2033131305247444</v>
      </c>
      <c r="C130" s="92">
        <f>G130+G131+G132</f>
        <v>8025.6943547500005</v>
      </c>
      <c r="D130" s="83" t="s">
        <v>72</v>
      </c>
      <c r="E130" s="84">
        <f t="shared" ref="E130:E132" si="39">1-E118-E124-E127-E121</f>
        <v>0.4</v>
      </c>
      <c r="F130" s="70">
        <f>G130/C130</f>
        <v>2.8707796461702777E-2</v>
      </c>
      <c r="G130" s="71">
        <f t="shared" si="38"/>
        <v>230.4</v>
      </c>
      <c r="H130" s="71">
        <f>$B$71*E130</f>
        <v>57.6</v>
      </c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2.75">
      <c r="A131" s="89"/>
      <c r="B131" s="89"/>
      <c r="C131" s="89"/>
      <c r="D131" s="85" t="s">
        <v>76</v>
      </c>
      <c r="E131" s="86">
        <f t="shared" si="39"/>
        <v>0.55000000000000004</v>
      </c>
      <c r="F131" s="73">
        <f>G131/C130</f>
        <v>0.98683050337103306</v>
      </c>
      <c r="G131" s="74">
        <f>H131*9</f>
        <v>7920.0000000000009</v>
      </c>
      <c r="H131" s="74">
        <f>$D$71*E131</f>
        <v>880.00000000000011</v>
      </c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2.75">
      <c r="A132" s="90"/>
      <c r="B132" s="90"/>
      <c r="C132" s="90"/>
      <c r="D132" s="87" t="s">
        <v>79</v>
      </c>
      <c r="E132" s="80">
        <f t="shared" si="39"/>
        <v>1.0000000000000009E-2</v>
      </c>
      <c r="F132" s="76">
        <f>G132/C130</f>
        <v>-1.553829983273574E-2</v>
      </c>
      <c r="G132" s="77">
        <f>H132*4</f>
        <v>-124.7056452500001</v>
      </c>
      <c r="H132" s="77">
        <f>$F$71*E132</f>
        <v>-31.176411312500026</v>
      </c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2.75" collapsed="1">
      <c r="A133" s="4"/>
      <c r="B133" s="81"/>
      <c r="C133" s="4"/>
      <c r="D133" s="4"/>
      <c r="E133" s="81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25.5" hidden="1" outlineLevel="1">
      <c r="A134" s="19" t="s">
        <v>125</v>
      </c>
      <c r="B134" s="81">
        <f>B118+B124+B127+B130+B121</f>
        <v>1.0000000000000004</v>
      </c>
      <c r="C134" s="82">
        <f>C118+C124+C127+C130+C121-$A$71</f>
        <v>0</v>
      </c>
      <c r="D134" s="4"/>
      <c r="E134" s="81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02" hidden="1" outlineLevel="1">
      <c r="A135" s="4"/>
      <c r="B135" s="19" t="s">
        <v>126</v>
      </c>
      <c r="C135" s="19" t="s">
        <v>127</v>
      </c>
      <c r="D135" s="4"/>
      <c r="E135" s="19" t="s">
        <v>128</v>
      </c>
      <c r="F135" s="4"/>
      <c r="H135" s="19" t="s">
        <v>129</v>
      </c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2.75" hidden="1" outlineLevel="1">
      <c r="A136" s="4"/>
      <c r="B136" s="4"/>
      <c r="C136" s="4"/>
      <c r="D136" s="19" t="s">
        <v>72</v>
      </c>
      <c r="E136" s="81">
        <f t="shared" ref="E136:E137" si="40">E118+E124+E127+E130</f>
        <v>1</v>
      </c>
      <c r="F136" s="4"/>
      <c r="G136" s="19" t="s">
        <v>72</v>
      </c>
      <c r="H136" s="82">
        <f>H118+H124+H127+H130+H121-$B$71</f>
        <v>0</v>
      </c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2.75" hidden="1" outlineLevel="1">
      <c r="A137" s="4"/>
      <c r="B137" s="4"/>
      <c r="C137" s="4"/>
      <c r="D137" s="19" t="s">
        <v>76</v>
      </c>
      <c r="E137" s="81">
        <f t="shared" si="40"/>
        <v>1</v>
      </c>
      <c r="F137" s="4"/>
      <c r="G137" s="19" t="s">
        <v>76</v>
      </c>
      <c r="H137" s="82">
        <f>H119+H125+H128+H131-$D$71</f>
        <v>0</v>
      </c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2.75" hidden="1" outlineLevel="1">
      <c r="A138" s="4"/>
      <c r="B138" s="4"/>
      <c r="C138" s="4"/>
      <c r="D138" s="19" t="s">
        <v>79</v>
      </c>
      <c r="E138" s="81">
        <f>E120+E126+E129+E132+E123</f>
        <v>1</v>
      </c>
      <c r="F138" s="4"/>
      <c r="G138" s="19" t="s">
        <v>79</v>
      </c>
      <c r="H138" s="82">
        <f>H120+H126+H129+H132+H123-$F$71</f>
        <v>0</v>
      </c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2.7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2.7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2.7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2.7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2.7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2.7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2.7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2.7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2.7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2.7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2.7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2.7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2.7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2.7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2.7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2.7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2.7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2.7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2.7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2.7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2.7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2.7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2.7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2.7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2.7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2.7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2.7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2.7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2.7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2.7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2.7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2.7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2.7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2.7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2.7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2.7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2.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2.7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2.7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2.7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2.7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2.7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2.7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2.7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2.7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2.7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2.7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2.7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2.7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2.7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2.7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2.7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2.7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2.7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2.7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2.7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2.7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2.7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2.7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2.7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2.7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2.7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2.7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2.7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2.7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2.7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2.7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2.7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2.7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2.7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2.7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2.7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2.7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2.7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2.7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2.7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2.7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2.7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2.7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2.7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2.7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2.7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2.7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2.7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2.7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2.7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2.7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2.7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2.7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2.7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2.7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2.7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2.7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2.7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2.7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2.7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2.7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2.7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2.7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2.7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2.7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2.7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2.7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2.7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2.7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2.7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2.7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2.7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2.7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2.7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2.7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2.7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2.7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2.7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2.7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2.7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2.7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2.7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2.7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2.7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2.7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2.7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2.7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2.7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2.7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2.7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2.7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2.7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2.7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2.7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2.7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2.7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2.7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2.7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2.7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2.7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2.7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2.7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2.7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2.7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2.7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2.7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2.7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2.7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2.7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2.7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2.7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2.7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2.7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2.7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2.7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2.7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2.7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2.7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2.7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2.7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2.7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2.7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2.7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2.7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2.7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2.7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2.7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2.7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2.7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2.7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2.7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2.7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2.7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2.7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2.7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2.7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2.7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2.7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2.7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2.7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2.7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2.7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2.7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2.7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2.7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2.7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2.7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2.7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2.7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2.7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2.7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2.7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2.7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2.7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2.7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2.7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2.7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2.7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2.7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2.7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2.7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2.7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2.7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2.7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2.7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2.7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2.7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2.7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2.7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2.7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2.7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2.7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2.7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2.7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2.7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2.7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2.7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2.7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2.7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2.7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2.7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2.7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2.7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2.7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2.7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2.7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2.7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2.7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2.7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2.7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2.7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2.7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2.7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2.7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2.7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2.7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2.7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2.7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2.7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2.7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2.7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2.7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2.7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2.7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2.7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2.7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2.7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2.7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2.7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2.7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2.7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2.7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2.7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2.7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2.7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2.7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2.7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2.7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2.7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2.7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2.7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2.7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2.7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2.7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2.7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2.7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2.7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2.7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2.7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2.7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2.7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2.7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2.7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2.7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2.7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2.7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2.7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2.7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2.7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2.7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2.7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2.7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2.7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2.7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2.7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2.7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2.7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2.7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2.7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2.7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2.7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2.7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2.7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2.7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2.7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2.7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2.7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2.7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2.7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2.7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2.7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2.7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2.7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2.7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2.7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2.7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2.7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2.7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2.7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2.7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2.7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2.7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2.7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2.7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2.7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2.7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2.7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2.7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2.7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2.7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2.7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2.7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2.7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2.7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2.7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2.7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2.7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2.7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2.7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2.7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2.7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2.7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2.7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2.7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2.7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2.7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2.7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2.7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2.7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2.7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2.7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2.7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2.7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2.7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2.7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2.7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2.7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2.7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2.7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2.7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2.7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2.7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2.7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2.7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2.7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2.7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2.7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2.7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2.7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2.7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2.7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2.7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2.7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2.7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2.7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2.7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2.7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2.7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2.7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2.7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2.7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2.7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2.7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2.7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2.7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2.7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2.7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2.7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2.7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2.7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2.7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2.7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2.7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2.7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2.7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2.7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2.7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2.7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2.7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2.7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2.7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2.7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2.7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2.7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2.7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2.7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2.7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2.7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2.7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2.7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2.7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2.7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2.7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2.7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2.7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2.7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2.7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2.7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2.7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2.7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2.7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2.7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2.7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2.7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2.7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2.7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2.7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2.7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2.7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2.7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2.7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2.7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2.7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2.7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2.7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2.7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2.7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2.7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2.7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2.7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2.7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2.7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2.7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2.7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2.7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2.7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2.7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2.7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2.7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2.7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2.7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2.7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2.7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2.7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2.7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2.7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2.7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2.7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2.7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2.7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2.7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2.7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2.7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2.7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2.7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2.7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2.7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2.7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2.7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2.7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2.7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2.7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2.7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2.7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2.7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2.7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2.7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2.7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2.7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2.7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2.7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2.7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2.7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2.7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2.7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2.7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2.7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2.7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2.7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2.7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2.7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2.7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2.7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2.7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2.7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2.7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2.7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2.7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2.7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2.7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2.7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2.7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2.7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2.7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2.7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2.7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2.7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2.7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2.7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2.7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2.7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2.7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2.7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2.7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2.7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2.7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2.7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2.7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2.7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2.7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2.7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2.7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2.7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2.7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2.7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2.7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2.7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2.7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2.7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2.7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2.7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2.7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2.7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2.7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2.7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2.7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2.7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2.7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2.7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2.7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2.7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2.7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2.7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2.7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2.7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2.7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2.7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2.7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2.7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2.7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2.7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2.7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2.7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2.7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2.7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2.7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2.7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2.7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2.7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2.7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2.7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2.7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2.7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2.7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2.7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2.7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2.7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2.7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2.7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2.7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2.7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2.7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2.7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2.7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2.7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2.7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2.7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2.7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2.7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2.7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2.7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2.7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2.7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2.7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2.7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2.7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2.7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2.7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2.7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2.7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2.7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2.7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2.7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2.7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2.7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2.7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2.7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2.7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2.7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2.7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2.7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2.7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2.7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2.7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2.7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2.7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2.7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2.7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2.7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2.7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2.7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2.7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2.7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2.7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2.7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2.7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2.7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2.7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2.7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2.7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2.7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2.7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2.7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2.7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2.7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2.7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2.7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2.7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2.7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2.7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2.7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2.7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2.7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2.7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2.7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2.7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2.7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2.7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2.7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2.7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2.7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2.7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2.7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2.7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2.7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2.7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2.7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2.7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2.7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2.7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2.7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2.7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2.7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2.7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2.7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2.7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2.7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2.7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2.7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2.7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2.7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2.7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2.7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2.7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2.7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2.7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2.7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2.7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2.7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2.7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2.7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2.7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2.7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2.7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2.7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2.7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2.7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2.7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2.7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2.7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2.7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2.7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2.7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2.7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2.7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2.7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2.7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2.7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2.7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2.7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2.7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2.7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2.7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2.7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2.7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2.7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2.7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2.7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2.7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2.7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2.7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2.7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2.7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2.7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2.7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2.7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2.7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2.7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2.7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2.7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2.7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2.7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2.7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2.7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2.7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2.7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2.7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2.7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2.7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2.7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2.7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2.7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2.7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2.7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2.7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2.7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2.7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2.7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2.7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2.7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2.7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2.7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2.7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2.7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2.7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2.7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2.7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2.7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2.7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2.7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2.7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2.7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2.7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2.7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2.7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2.7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2.7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2.7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2.7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2.7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2.7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2.7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2.7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2.7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2.7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2.7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2.7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2.7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2.7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2.7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2.7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2.7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2.7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2.7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2.7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2.7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2.7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2.7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2.7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2.7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2.7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2.7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2.7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2.7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2.7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2.7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2.7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2.7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2.7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2.7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2.7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2.7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2.7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2.7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2.7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2.7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2.7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2.7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2.7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2.7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2.7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2.7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2.7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2.7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2.7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2.7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2.7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2.7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2.7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2.7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2.7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2.7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2.7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2.7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2.7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2.7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2.7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2.7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2.7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2.7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2.7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2.7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2.7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2.7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2.7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2.7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2.7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2.7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2.7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2.7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2.7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2.7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2.7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2.7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2.7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2.7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2.7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2.7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2.7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2.7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2.7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2.7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2.7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2.7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2.7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2.7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2.7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2.7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2.7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2.7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2.7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2.7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2.7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2.7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2.7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2.7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2.7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2.7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2.7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2.7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2.7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2.7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2.7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2.7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2.7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2.7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2.7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2.7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2.7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2.7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2.7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2.7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2.7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2.7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2.7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2.7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2.7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2.7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2.7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2.7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2.7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2.7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2.7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2.75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2.75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2.75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  <row r="1001" spans="1:26" ht="12.75">
      <c r="A1001" s="4"/>
      <c r="B1001" s="4"/>
      <c r="C1001" s="4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</row>
    <row r="1002" spans="1:26" ht="12.75">
      <c r="A1002" s="4"/>
      <c r="B1002" s="4"/>
      <c r="C1002" s="4"/>
      <c r="D1002" s="4"/>
      <c r="E1002" s="4"/>
      <c r="F1002" s="4"/>
      <c r="G1002" s="4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</row>
    <row r="1003" spans="1:26" ht="12.75">
      <c r="A1003" s="4"/>
      <c r="B1003" s="4"/>
      <c r="C1003" s="4"/>
      <c r="D1003" s="4"/>
      <c r="E1003" s="4"/>
      <c r="F1003" s="4"/>
      <c r="G1003" s="4"/>
      <c r="H1003" s="4"/>
      <c r="I1003" s="4"/>
      <c r="J1003" s="4"/>
      <c r="K1003" s="4"/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4"/>
      <c r="X1003" s="4"/>
      <c r="Y1003" s="4"/>
      <c r="Z1003" s="4"/>
    </row>
    <row r="1004" spans="1:26" ht="12.75">
      <c r="A1004" s="4"/>
      <c r="B1004" s="4"/>
      <c r="C1004" s="4"/>
      <c r="D1004" s="4"/>
      <c r="E1004" s="4"/>
      <c r="F1004" s="4"/>
      <c r="G1004" s="4"/>
      <c r="H1004" s="4"/>
      <c r="I1004" s="4"/>
      <c r="J1004" s="4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4"/>
      <c r="X1004" s="4"/>
      <c r="Y1004" s="4"/>
      <c r="Z1004" s="4"/>
    </row>
    <row r="1005" spans="1:26" ht="12.75">
      <c r="A1005" s="4"/>
      <c r="B1005" s="4"/>
      <c r="C1005" s="4"/>
      <c r="D1005" s="4"/>
      <c r="E1005" s="4"/>
      <c r="F1005" s="4"/>
      <c r="G1005" s="4"/>
      <c r="H1005" s="4"/>
      <c r="I1005" s="4"/>
      <c r="J1005" s="4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4"/>
      <c r="X1005" s="4"/>
      <c r="Y1005" s="4"/>
      <c r="Z1005" s="4"/>
    </row>
    <row r="1006" spans="1:26" ht="12.75">
      <c r="A1006" s="4"/>
      <c r="B1006" s="4"/>
      <c r="C1006" s="4"/>
      <c r="D1006" s="4"/>
      <c r="E1006" s="4"/>
      <c r="F1006" s="4"/>
      <c r="G1006" s="4"/>
      <c r="H1006" s="4"/>
      <c r="I1006" s="4"/>
      <c r="J1006" s="4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4"/>
      <c r="X1006" s="4"/>
      <c r="Y1006" s="4"/>
      <c r="Z1006" s="4"/>
    </row>
    <row r="1007" spans="1:26" ht="12.75">
      <c r="A1007" s="4"/>
      <c r="B1007" s="4"/>
      <c r="C1007" s="4"/>
      <c r="D1007" s="4"/>
      <c r="E1007" s="4"/>
      <c r="F1007" s="4"/>
      <c r="G1007" s="4"/>
      <c r="H1007" s="4"/>
      <c r="I1007" s="4"/>
      <c r="J1007" s="4"/>
      <c r="K1007" s="4"/>
      <c r="L1007" s="4"/>
      <c r="M1007" s="4"/>
      <c r="N1007" s="4"/>
      <c r="O1007" s="4"/>
      <c r="P1007" s="4"/>
      <c r="Q1007" s="4"/>
      <c r="R1007" s="4"/>
      <c r="S1007" s="4"/>
      <c r="T1007" s="4"/>
      <c r="U1007" s="4"/>
      <c r="V1007" s="4"/>
      <c r="W1007" s="4"/>
      <c r="X1007" s="4"/>
      <c r="Y1007" s="4"/>
      <c r="Z1007" s="4"/>
    </row>
    <row r="1008" spans="1:26" ht="12.75">
      <c r="A1008" s="4"/>
      <c r="B1008" s="4"/>
      <c r="C1008" s="4"/>
      <c r="D1008" s="4"/>
      <c r="E1008" s="4"/>
      <c r="F1008" s="4"/>
      <c r="G1008" s="4"/>
      <c r="H1008" s="4"/>
      <c r="I1008" s="4"/>
      <c r="J1008" s="4"/>
      <c r="K1008" s="4"/>
      <c r="L1008" s="4"/>
      <c r="M1008" s="4"/>
      <c r="N1008" s="4"/>
      <c r="O1008" s="4"/>
      <c r="P1008" s="4"/>
      <c r="Q1008" s="4"/>
      <c r="R1008" s="4"/>
      <c r="S1008" s="4"/>
      <c r="T1008" s="4"/>
      <c r="U1008" s="4"/>
      <c r="V1008" s="4"/>
      <c r="W1008" s="4"/>
      <c r="X1008" s="4"/>
      <c r="Y1008" s="4"/>
      <c r="Z1008" s="4"/>
    </row>
    <row r="1009" spans="1:26" ht="12.75">
      <c r="A1009" s="4"/>
      <c r="B1009" s="4"/>
      <c r="C1009" s="4"/>
      <c r="D1009" s="4"/>
      <c r="E1009" s="4"/>
      <c r="F1009" s="4"/>
      <c r="G1009" s="4"/>
      <c r="H1009" s="4"/>
      <c r="I1009" s="4"/>
      <c r="J1009" s="4"/>
      <c r="K1009" s="4"/>
      <c r="L1009" s="4"/>
      <c r="M1009" s="4"/>
      <c r="N1009" s="4"/>
      <c r="O1009" s="4"/>
      <c r="P1009" s="4"/>
      <c r="Q1009" s="4"/>
      <c r="R1009" s="4"/>
      <c r="S1009" s="4"/>
      <c r="T1009" s="4"/>
      <c r="U1009" s="4"/>
      <c r="V1009" s="4"/>
      <c r="W1009" s="4"/>
      <c r="X1009" s="4"/>
      <c r="Y1009" s="4"/>
      <c r="Z1009" s="4"/>
    </row>
    <row r="1010" spans="1:26" ht="12.75">
      <c r="A1010" s="4"/>
      <c r="B1010" s="4"/>
      <c r="C1010" s="4"/>
      <c r="D1010" s="4"/>
      <c r="E1010" s="4"/>
      <c r="F1010" s="4"/>
      <c r="G1010" s="4"/>
      <c r="H1010" s="4"/>
      <c r="I1010" s="4"/>
      <c r="J1010" s="4"/>
      <c r="K1010" s="4"/>
      <c r="L1010" s="4"/>
      <c r="M1010" s="4"/>
      <c r="N1010" s="4"/>
      <c r="O1010" s="4"/>
      <c r="P1010" s="4"/>
      <c r="Q1010" s="4"/>
      <c r="R1010" s="4"/>
      <c r="S1010" s="4"/>
      <c r="T1010" s="4"/>
      <c r="U1010" s="4"/>
      <c r="V1010" s="4"/>
      <c r="W1010" s="4"/>
      <c r="X1010" s="4"/>
      <c r="Y1010" s="4"/>
      <c r="Z1010" s="4"/>
    </row>
    <row r="1011" spans="1:26" ht="12.75">
      <c r="A1011" s="4"/>
      <c r="B1011" s="4"/>
      <c r="C1011" s="4"/>
      <c r="D1011" s="4"/>
      <c r="E1011" s="4"/>
      <c r="F1011" s="4"/>
      <c r="G1011" s="4"/>
      <c r="H1011" s="4"/>
      <c r="I1011" s="4"/>
      <c r="J1011" s="4"/>
      <c r="K1011" s="4"/>
      <c r="L1011" s="4"/>
      <c r="M1011" s="4"/>
      <c r="N1011" s="4"/>
      <c r="O1011" s="4"/>
      <c r="P1011" s="4"/>
      <c r="Q1011" s="4"/>
      <c r="R1011" s="4"/>
      <c r="S1011" s="4"/>
      <c r="T1011" s="4"/>
      <c r="U1011" s="4"/>
      <c r="V1011" s="4"/>
      <c r="W1011" s="4"/>
      <c r="X1011" s="4"/>
      <c r="Y1011" s="4"/>
      <c r="Z1011" s="4"/>
    </row>
  </sheetData>
  <mergeCells count="63">
    <mergeCell ref="A82:A84"/>
    <mergeCell ref="B82:B84"/>
    <mergeCell ref="C82:C84"/>
    <mergeCell ref="A93:C93"/>
    <mergeCell ref="B102:B104"/>
    <mergeCell ref="C102:C104"/>
    <mergeCell ref="A76:A78"/>
    <mergeCell ref="B76:B78"/>
    <mergeCell ref="C76:C78"/>
    <mergeCell ref="A79:A81"/>
    <mergeCell ref="B79:B81"/>
    <mergeCell ref="C79:C81"/>
    <mergeCell ref="F60:K64"/>
    <mergeCell ref="A65:E65"/>
    <mergeCell ref="A66:E66"/>
    <mergeCell ref="A72:G72"/>
    <mergeCell ref="A73:C73"/>
    <mergeCell ref="A45:F45"/>
    <mergeCell ref="J45:L45"/>
    <mergeCell ref="B50:C50"/>
    <mergeCell ref="D51:E51"/>
    <mergeCell ref="F55:G55"/>
    <mergeCell ref="B35:F35"/>
    <mergeCell ref="B36:F36"/>
    <mergeCell ref="B37:F37"/>
    <mergeCell ref="B38:F38"/>
    <mergeCell ref="B39:F39"/>
    <mergeCell ref="B20:F20"/>
    <mergeCell ref="B21:F21"/>
    <mergeCell ref="B22:F22"/>
    <mergeCell ref="A24:E24"/>
    <mergeCell ref="B34:F34"/>
    <mergeCell ref="H1:J5"/>
    <mergeCell ref="A7:E7"/>
    <mergeCell ref="B17:F17"/>
    <mergeCell ref="B18:F18"/>
    <mergeCell ref="B19:F19"/>
    <mergeCell ref="A118:A120"/>
    <mergeCell ref="B118:B120"/>
    <mergeCell ref="C118:C120"/>
    <mergeCell ref="B130:B132"/>
    <mergeCell ref="C130:C132"/>
    <mergeCell ref="A124:A126"/>
    <mergeCell ref="B124:B126"/>
    <mergeCell ref="C124:C126"/>
    <mergeCell ref="A127:A129"/>
    <mergeCell ref="B127:B129"/>
    <mergeCell ref="C127:C129"/>
    <mergeCell ref="A130:A132"/>
    <mergeCell ref="A121:A123"/>
    <mergeCell ref="B121:B123"/>
    <mergeCell ref="C121:C123"/>
    <mergeCell ref="A102:A104"/>
    <mergeCell ref="A105:A107"/>
    <mergeCell ref="B105:B107"/>
    <mergeCell ref="C105:C107"/>
    <mergeCell ref="A115:C115"/>
    <mergeCell ref="A96:A98"/>
    <mergeCell ref="B96:B98"/>
    <mergeCell ref="C96:C98"/>
    <mergeCell ref="A99:A101"/>
    <mergeCell ref="B99:B101"/>
    <mergeCell ref="C99:C101"/>
  </mergeCells>
  <dataValidations disablePrompts="1" count="2">
    <dataValidation type="list" allowBlank="1" showErrorMessage="1" sqref="E2" xr:uid="{00000000-0002-0000-0000-000000000000}">
      <formula1>$M$2:$M$6</formula1>
    </dataValidation>
    <dataValidation type="list" allowBlank="1" showErrorMessage="1" sqref="A2" xr:uid="{00000000-0002-0000-0000-000001000000}">
      <formula1>$L$2:$L$3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 Потребности клиента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Люба</cp:lastModifiedBy>
  <dcterms:modified xsi:type="dcterms:W3CDTF">2023-09-28T19:27:51Z</dcterms:modified>
</cp:coreProperties>
</file>